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4/Q3 2024/Final Version/"/>
    </mc:Choice>
  </mc:AlternateContent>
  <xr:revisionPtr revIDLastSave="9" documentId="8_{2D037FCB-623A-40BF-A873-E021F7BDD881}" xr6:coauthVersionLast="47" xr6:coauthVersionMax="47" xr10:uidLastSave="{BB6F739F-EA7A-46C5-99EC-C3045760740D}"/>
  <bookViews>
    <workbookView xWindow="-110" yWindow="-110" windowWidth="19420" windowHeight="10420" tabRatio="741" xr2:uid="{00000000-000D-0000-FFFF-FFFF00000000}"/>
  </bookViews>
  <sheets>
    <sheet name="Qtr Electric Master" sheetId="27" r:id="rId1"/>
    <sheet name="Qtr Electric LMI" sheetId="29" r:id="rId2"/>
    <sheet name="Qtr Electric Business" sheetId="30" r:id="rId3"/>
    <sheet name="RECO" sheetId="31" state="hidden" r:id="rId4"/>
    <sheet name="Lookup_Sheet" sheetId="32" state="hidden" r:id="rId5"/>
  </sheets>
  <definedNames>
    <definedName name="wrn.CFC._.QUARTER." localSheetId="4"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4"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2" hidden="1">'Qtr Electric Business'!#REF!</definedName>
    <definedName name="Z_E3A30FBC_675D_4AD8_9B2D_12956792A138_.wvu.Rows" localSheetId="1" hidden="1">'Qtr Electric LMI'!#REF!</definedName>
    <definedName name="Z_E3A30FBC_675D_4AD8_9B2D_12956792A138_.wvu.Rows" localSheetId="0" hidden="1">'Qtr Electric Master'!#REF!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0" l="1"/>
  <c r="F9" i="30"/>
  <c r="E14" i="29"/>
  <c r="F14" i="29" s="1"/>
  <c r="G14" i="29" s="1"/>
  <c r="H14" i="29" l="1"/>
  <c r="I14" i="29" s="1"/>
  <c r="R23" i="27"/>
  <c r="S23" i="27"/>
  <c r="N23" i="27"/>
  <c r="L23" i="27"/>
  <c r="S9" i="27"/>
  <c r="R9" i="27"/>
  <c r="M23" i="27" l="1"/>
  <c r="D11" i="29" l="1"/>
  <c r="E28" i="27"/>
  <c r="F22" i="27" l="1"/>
  <c r="F9" i="27" l="1"/>
  <c r="S19" i="27" l="1"/>
  <c r="N19" i="27"/>
  <c r="P19" i="27" s="1"/>
  <c r="F19" i="27"/>
  <c r="G16" i="27"/>
  <c r="K15" i="27"/>
  <c r="O11" i="27"/>
  <c r="K10" i="27"/>
  <c r="E10" i="29"/>
  <c r="E8" i="29"/>
  <c r="H10" i="29" l="1"/>
  <c r="I10" i="29" s="1"/>
  <c r="F10" i="29"/>
  <c r="G10" i="29" s="1"/>
  <c r="F8" i="29"/>
  <c r="G8" i="29" s="1"/>
  <c r="K21" i="27"/>
  <c r="O8" i="27"/>
  <c r="K8" i="27"/>
  <c r="G10" i="27"/>
  <c r="G11" i="27"/>
  <c r="G8" i="27"/>
  <c r="S24" i="27" l="1"/>
  <c r="Q24" i="27"/>
  <c r="G19" i="27" l="1"/>
  <c r="G26" i="27"/>
  <c r="I9" i="29"/>
  <c r="H11" i="29"/>
  <c r="H21" i="29"/>
  <c r="E16" i="29"/>
  <c r="F16" i="29" s="1"/>
  <c r="G16" i="29" s="1"/>
  <c r="E18" i="29"/>
  <c r="H18" i="29" l="1"/>
  <c r="I18" i="29" s="1"/>
  <c r="I19" i="29" s="1"/>
  <c r="F18" i="29"/>
  <c r="G18" i="29" s="1"/>
  <c r="G19" i="29"/>
  <c r="H8" i="29"/>
  <c r="I8" i="29" s="1"/>
  <c r="I12" i="29" s="1"/>
  <c r="G12" i="29"/>
  <c r="I23" i="29" l="1"/>
  <c r="G23" i="29"/>
  <c r="E17" i="29"/>
  <c r="E19" i="29" s="1"/>
  <c r="E9" i="29"/>
  <c r="D21" i="29"/>
  <c r="E12" i="29" l="1"/>
  <c r="E23" i="29" s="1"/>
  <c r="H8" i="30" l="1"/>
  <c r="E9" i="30"/>
  <c r="H9" i="30" l="1"/>
  <c r="I9" i="30" s="1"/>
  <c r="D8" i="30"/>
  <c r="N12" i="27" l="1"/>
  <c r="O12" i="27" s="1"/>
  <c r="N17" i="27"/>
  <c r="O23" i="27" l="1"/>
  <c r="O19" i="27"/>
  <c r="O16" i="27"/>
  <c r="O15" i="27"/>
  <c r="O10" i="27"/>
  <c r="K26" i="27"/>
  <c r="K23" i="27"/>
  <c r="K19" i="27"/>
  <c r="K16" i="27"/>
  <c r="K11" i="27"/>
  <c r="G23" i="27"/>
  <c r="G21" i="27"/>
  <c r="G15" i="27"/>
  <c r="E12" i="27"/>
  <c r="P23" i="27" l="1"/>
  <c r="P26" i="27"/>
  <c r="S17" i="27"/>
  <c r="S12" i="27"/>
  <c r="R17" i="27"/>
  <c r="P16" i="27"/>
  <c r="P15" i="27"/>
  <c r="P10" i="27"/>
  <c r="P11" i="27"/>
  <c r="P8" i="27"/>
  <c r="P9" i="27"/>
  <c r="S28" i="27" l="1"/>
  <c r="H13" i="31" l="1"/>
  <c r="F13" i="31"/>
  <c r="E11" i="31"/>
  <c r="E10" i="31"/>
  <c r="E9" i="31"/>
  <c r="I12" i="31" l="1"/>
  <c r="F12" i="31"/>
  <c r="H12" i="31"/>
  <c r="E12" i="31"/>
  <c r="J11" i="31" l="1"/>
  <c r="J10" i="31"/>
  <c r="J9" i="31"/>
  <c r="J8" i="31"/>
  <c r="J7" i="31"/>
  <c r="J6" i="31"/>
  <c r="J5" i="31"/>
  <c r="J4" i="31"/>
  <c r="K11" i="31" l="1"/>
  <c r="H11" i="31"/>
  <c r="G11" i="31"/>
  <c r="F11" i="31"/>
  <c r="K10" i="31"/>
  <c r="G10" i="31"/>
  <c r="F10" i="31"/>
  <c r="K9" i="31"/>
  <c r="H9" i="31"/>
  <c r="G9" i="31"/>
  <c r="F9" i="31"/>
  <c r="K8" i="31"/>
  <c r="G8" i="31"/>
  <c r="F8" i="31"/>
  <c r="K7" i="31"/>
  <c r="G7" i="31"/>
  <c r="F7" i="31"/>
  <c r="K6" i="31"/>
  <c r="G6" i="31"/>
  <c r="F6" i="31"/>
  <c r="K5" i="31"/>
  <c r="G5" i="31"/>
  <c r="F5" i="31"/>
  <c r="K4" i="31"/>
  <c r="G4" i="31"/>
  <c r="F4" i="31"/>
  <c r="H10" i="31" l="1"/>
  <c r="H8" i="31" l="1"/>
  <c r="H6" i="31"/>
  <c r="H5" i="31"/>
  <c r="J24" i="27"/>
  <c r="I4" i="31" l="1"/>
  <c r="H4" i="31"/>
  <c r="J17" i="27"/>
  <c r="H7" i="31"/>
  <c r="J12" i="27"/>
  <c r="J28" i="27" s="1"/>
  <c r="I11" i="31" l="1"/>
  <c r="I10" i="31"/>
  <c r="I9" i="31"/>
  <c r="I8" i="31"/>
  <c r="I7" i="31"/>
  <c r="I16" i="30" l="1"/>
  <c r="H16" i="30"/>
  <c r="G16" i="30"/>
  <c r="F16" i="30"/>
  <c r="E16" i="30"/>
  <c r="G10" i="30"/>
  <c r="G19" i="30" s="1"/>
  <c r="I10" i="30"/>
  <c r="I19" i="30" s="1"/>
  <c r="H10" i="30"/>
  <c r="H19" i="30" s="1"/>
  <c r="F10" i="30"/>
  <c r="F19" i="30" s="1"/>
  <c r="E10" i="30"/>
  <c r="E19" i="30" s="1"/>
  <c r="D16" i="30"/>
  <c r="D10" i="30"/>
  <c r="D19" i="30" s="1"/>
  <c r="H19" i="29" l="1"/>
  <c r="F19" i="29"/>
  <c r="D19" i="29"/>
  <c r="H12" i="29"/>
  <c r="H23" i="29" s="1"/>
  <c r="F12" i="29"/>
  <c r="D12" i="29"/>
  <c r="D23" i="29" s="1"/>
  <c r="E24" i="27"/>
  <c r="H24" i="27"/>
  <c r="I24" i="27"/>
  <c r="L24" i="27"/>
  <c r="M24" i="27"/>
  <c r="M28" i="27" s="1"/>
  <c r="N24" i="27"/>
  <c r="N28" i="27" s="1"/>
  <c r="P24" i="27"/>
  <c r="R24" i="27"/>
  <c r="D24" i="27"/>
  <c r="E17" i="27"/>
  <c r="H17" i="27"/>
  <c r="I17" i="27"/>
  <c r="L17" i="27"/>
  <c r="M17" i="27"/>
  <c r="P17" i="27"/>
  <c r="Q17" i="27"/>
  <c r="D17" i="27"/>
  <c r="E7" i="31"/>
  <c r="H12" i="27"/>
  <c r="I12" i="27"/>
  <c r="L12" i="27"/>
  <c r="M12" i="27"/>
  <c r="P12" i="27"/>
  <c r="Q12" i="27"/>
  <c r="R12" i="27"/>
  <c r="D12" i="27"/>
  <c r="E4" i="31"/>
  <c r="F23" i="29" l="1"/>
  <c r="D28" i="27"/>
  <c r="R28" i="27"/>
  <c r="Q28" i="27"/>
  <c r="H28" i="27"/>
  <c r="O28" i="27"/>
  <c r="I28" i="27"/>
  <c r="P28" i="27"/>
  <c r="L28" i="27"/>
  <c r="O24" i="27"/>
  <c r="O17" i="27"/>
  <c r="K17" i="27"/>
  <c r="K28" i="27"/>
  <c r="E5" i="31"/>
  <c r="E8" i="31"/>
  <c r="E6" i="31"/>
  <c r="I5" i="31"/>
  <c r="I6" i="31"/>
  <c r="F17" i="27"/>
  <c r="F24" i="27"/>
  <c r="G24" i="27" s="1"/>
  <c r="K24" i="27"/>
  <c r="F12" i="27"/>
  <c r="F28" i="27" l="1"/>
  <c r="G28" i="27" s="1"/>
  <c r="G17" i="27"/>
  <c r="G12" i="27"/>
  <c r="K1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Madnick, Philip</author>
  </authors>
  <commentList>
    <comment ref="F22" authorId="0" shapeId="0" xr:uid="{00000000-0006-0000-0400-000001000000}">
      <text>
        <r>
          <rPr>
            <b/>
            <sz val="9"/>
            <color indexed="81"/>
            <rFont val="Tahoma"/>
            <family val="2"/>
          </rPr>
          <t>Madnick, Philip:</t>
        </r>
        <r>
          <rPr>
            <sz val="9"/>
            <color indexed="81"/>
            <rFont val="Tahoma"/>
            <family val="2"/>
          </rPr>
          <t xml:space="preserve">
1,725 customers already enrolled from PY23</t>
        </r>
      </text>
    </comment>
  </commentList>
</comments>
</file>

<file path=xl/sharedStrings.xml><?xml version="1.0" encoding="utf-8"?>
<sst xmlns="http://schemas.openxmlformats.org/spreadsheetml/2006/main" count="275" uniqueCount="135">
  <si>
    <t>Quarter</t>
  </si>
  <si>
    <t>Clean Heat Beneficial Electrification</t>
  </si>
  <si>
    <t>Comfort Partners</t>
  </si>
  <si>
    <t>Residential</t>
  </si>
  <si>
    <t>Peak Demand Reduction</t>
  </si>
  <si>
    <t>NA</t>
  </si>
  <si>
    <t>Participation</t>
  </si>
  <si>
    <t>Multi-Family</t>
  </si>
  <si>
    <t>Energy Efficiency and PDR Savings Summary</t>
  </si>
  <si>
    <t xml:space="preserve"> </t>
  </si>
  <si>
    <t>Actual Expenditures</t>
  </si>
  <si>
    <t>Ex Ante Energy Savings</t>
  </si>
  <si>
    <t>A</t>
  </si>
  <si>
    <t>B</t>
  </si>
  <si>
    <t>C</t>
  </si>
  <si>
    <t>D=C/B</t>
  </si>
  <si>
    <t>E</t>
  </si>
  <si>
    <t>F</t>
  </si>
  <si>
    <t>G</t>
  </si>
  <si>
    <t>H=G/F</t>
  </si>
  <si>
    <t>I</t>
  </si>
  <si>
    <t>J</t>
  </si>
  <si>
    <t>K</t>
  </si>
  <si>
    <t>L=K/J</t>
  </si>
  <si>
    <t>M</t>
  </si>
  <si>
    <t>N</t>
  </si>
  <si>
    <t>O</t>
  </si>
  <si>
    <t>P</t>
  </si>
  <si>
    <t>Annual Forecasted Participation Number</t>
  </si>
  <si>
    <t>YTD Reported Participation Number</t>
  </si>
  <si>
    <t>YTD % of Annual Participants</t>
  </si>
  <si>
    <t>Quarter ($000)</t>
  </si>
  <si>
    <r>
      <t>Annual Forecasted Program Costs ($000)</t>
    </r>
    <r>
      <rPr>
        <vertAlign val="superscript"/>
        <sz val="9"/>
        <color rgb="FFFFFFFF"/>
        <rFont val="Calibri"/>
        <family val="2"/>
        <scheme val="minor"/>
      </rPr>
      <t>1</t>
    </r>
  </si>
  <si>
    <t>YTD Reported Program Costs ($000)</t>
  </si>
  <si>
    <t>YTD % of Annual Budget</t>
  </si>
  <si>
    <t>Quarter Annual Retail Energy Savings (MWh)</t>
  </si>
  <si>
    <t>Annual Forecasted Retail Energy Savings (MWh)</t>
  </si>
  <si>
    <t>YTD Reported Retail Energy Savings (MWh)</t>
  </si>
  <si>
    <t>YTD % of Annual Energy Savings</t>
  </si>
  <si>
    <r>
      <t>Reported Wholesale Energy Savings</t>
    </r>
    <r>
      <rPr>
        <vertAlign val="superscript"/>
        <sz val="9"/>
        <color rgb="FFFFFFFF"/>
        <rFont val="Calibri"/>
        <family val="2"/>
        <scheme val="minor"/>
      </rPr>
      <t>2</t>
    </r>
    <r>
      <rPr>
        <sz val="9"/>
        <color indexed="9"/>
        <rFont val="Calibri"/>
        <family val="2"/>
        <scheme val="minor"/>
      </rPr>
      <t xml:space="preserve"> (MWh)</t>
    </r>
  </si>
  <si>
    <t>YTD Peak Demand Savings (MW)</t>
  </si>
  <si>
    <t>Quarter Lifetime Savings (MWh)</t>
  </si>
  <si>
    <t>YTD Lifetime Savings (MWh)</t>
  </si>
  <si>
    <t>Residential Programs</t>
  </si>
  <si>
    <t>Sub Program</t>
  </si>
  <si>
    <t>Efficient Products*</t>
  </si>
  <si>
    <t>Appliance Recycling/Rebate, Retail Lighting, Marketplace, Midstream HVAC</t>
  </si>
  <si>
    <t>Behavioral</t>
  </si>
  <si>
    <t>Existing Homes*</t>
  </si>
  <si>
    <t>Home Performance with Energy Star, Quick Home Energy Check</t>
  </si>
  <si>
    <t>Moderate Income Weatherization</t>
  </si>
  <si>
    <t>Total Residential</t>
  </si>
  <si>
    <t>Business Programs</t>
  </si>
  <si>
    <t>Sub-Program</t>
  </si>
  <si>
    <t>C&amp;I Direct Install*</t>
  </si>
  <si>
    <t>N/A</t>
  </si>
  <si>
    <t>C&amp;I Rebate Program*</t>
  </si>
  <si>
    <t>Prescriptive/Custom, Energy Management, Engineered Solutions, Midstream Lighting/HVAC</t>
  </si>
  <si>
    <t>Total Business</t>
  </si>
  <si>
    <t>Multi-Family*</t>
  </si>
  <si>
    <t>Pilot Programs</t>
  </si>
  <si>
    <t>Bring Your Own Thermostat, Commercial System Relief Program</t>
  </si>
  <si>
    <t>Behavioral DR</t>
  </si>
  <si>
    <t>Clean Heat Beneficial Electrification**</t>
  </si>
  <si>
    <t>Total Pilot</t>
  </si>
  <si>
    <t>NJCEP Comfort Partners***</t>
  </si>
  <si>
    <t>Supportive Costs Outside Portfolio****</t>
  </si>
  <si>
    <t>Portfolio Total</t>
  </si>
  <si>
    <r>
      <rPr>
        <vertAlign val="superscript"/>
        <sz val="11"/>
        <rFont val="Calibri"/>
        <family val="2"/>
        <scheme val="minor"/>
      </rPr>
      <t>1</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</si>
  <si>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r>
      <t xml:space="preserve">2 </t>
    </r>
    <r>
      <rPr>
        <sz val="11"/>
        <color rgb="FF000000"/>
        <rFont val="Times New Roman"/>
        <family val="1"/>
      </rPr>
      <t>Wholesale savings at the gross wholesale level include retail savings plus marginal line losses, using approved line loss factor in utility’s tariff grossed up by 1.5, per the Avoided Cost Methodology in the NJ Cost Test.</t>
    </r>
  </si>
  <si>
    <t>* Denotes a core EE program. Home Performance with Energy Star only includes non-LMI; the comparable program for LMI participants is Comfort Partners, which is jointly administered by the State and Utilities.</t>
  </si>
  <si>
    <t>** Savings are in captured in MMBtu and converted to MWh here</t>
  </si>
  <si>
    <t>***NJ Comfort Partners savings is a preliminary estimate due to recently transitioning the data system of record, and subject to change based on further calculations. Savings true-up anticipated in future reporting periods.</t>
  </si>
  <si>
    <t>****Supportive Costs include the Statewide Coordinator</t>
  </si>
  <si>
    <t xml:space="preserve">  </t>
  </si>
  <si>
    <t>Incentive Expenditures (Customer Rebates and Low/no-cost financing)</t>
  </si>
  <si>
    <t>D</t>
  </si>
  <si>
    <t>YTD Reported Incentive Costs ($000)</t>
  </si>
  <si>
    <t>LMI</t>
  </si>
  <si>
    <t>Non-LMI or Unverified</t>
  </si>
  <si>
    <t>Efficient Products</t>
  </si>
  <si>
    <t>Existing Homes</t>
  </si>
  <si>
    <t>NJCEP Comfort Partners</t>
  </si>
  <si>
    <t>Supportive Costs Outside Portfolio</t>
  </si>
  <si>
    <t>Small Commercial</t>
  </si>
  <si>
    <t>Large Commercial</t>
  </si>
  <si>
    <t>C&amp;I Direct Install</t>
  </si>
  <si>
    <t>C&amp;I Rebate Program</t>
  </si>
  <si>
    <t>RECO</t>
  </si>
  <si>
    <t>Program</t>
  </si>
  <si>
    <t>Reporting Period</t>
  </si>
  <si>
    <t>FY22-Q4</t>
  </si>
  <si>
    <t>Program/Utility Information</t>
  </si>
  <si>
    <t>Participants</t>
  </si>
  <si>
    <r>
      <t xml:space="preserve">Budget &amp; Expenses </t>
    </r>
    <r>
      <rPr>
        <b/>
        <sz val="11"/>
        <color theme="1"/>
        <rFont val="Calibri"/>
        <family val="2"/>
        <scheme val="minor"/>
      </rPr>
      <t>($000)</t>
    </r>
  </si>
  <si>
    <t>Energy Savings</t>
  </si>
  <si>
    <t>Utility</t>
  </si>
  <si>
    <t>Sector</t>
  </si>
  <si>
    <t>Annual Budget</t>
  </si>
  <si>
    <t>YTD Reported Incentive Costs</t>
  </si>
  <si>
    <t>YTD Reported Program Costs</t>
  </si>
  <si>
    <t>YTD Annual Electric Savings
(MWh)</t>
  </si>
  <si>
    <t>YTD Lifetime Electric Savings
(MWh)</t>
  </si>
  <si>
    <t>YTD Peak Demand Electric Savings
(MW)</t>
  </si>
  <si>
    <t>YTD Annual Gas Savings
(Dtherm)</t>
  </si>
  <si>
    <t>YTD Lifetime Gas Savings
(Dtherm)</t>
  </si>
  <si>
    <t>Behavioral EE, Midstream, Marketplace, HVAC</t>
  </si>
  <si>
    <t>HPwES</t>
  </si>
  <si>
    <t>Commercial</t>
  </si>
  <si>
    <t>Direct Install</t>
  </si>
  <si>
    <t>Energy Solutions for Business</t>
  </si>
  <si>
    <t>Prescriptive/Custom, Energy Management, Engineered Solutions</t>
  </si>
  <si>
    <t xml:space="preserve">Pilot Program </t>
  </si>
  <si>
    <t>Bring Your Own Thermostat, Commercial System Relief Program, Behavioral DR</t>
  </si>
  <si>
    <t>Prescriptive/Custom</t>
  </si>
  <si>
    <t>Program Manager</t>
  </si>
  <si>
    <t>ACE</t>
  </si>
  <si>
    <t>ETG</t>
  </si>
  <si>
    <t>JCPL</t>
  </si>
  <si>
    <t>NJNG</t>
  </si>
  <si>
    <t>PSEG</t>
  </si>
  <si>
    <t>SJG</t>
  </si>
  <si>
    <t>Reporting Quarter &amp; Year</t>
  </si>
  <si>
    <t>FY22-Q1</t>
  </si>
  <si>
    <t>FY22-Q2</t>
  </si>
  <si>
    <t>FY22-Q3</t>
  </si>
  <si>
    <t>FY23-Q1</t>
  </si>
  <si>
    <t>FY23-Q2</t>
  </si>
  <si>
    <t>FY23-Q3</t>
  </si>
  <si>
    <t>FY23-Q4</t>
  </si>
  <si>
    <t>FY24-Q1</t>
  </si>
  <si>
    <t>FY24-Q2</t>
  </si>
  <si>
    <t>FY24-Q3</t>
  </si>
  <si>
    <t>FY24-Q4</t>
  </si>
  <si>
    <t>For Period Ending PY24Q3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</si>
</sst>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
    <numFmt numFmtId="168" formatCode="&quot;$&quot;#,##0.0"/>
    <numFmt numFmtId="171" formatCode="&quot;$&quot;#,##0.000"/>
    <numFmt numFmtId="173" formatCode="&quot;$&quot;#,##0.00"/>
    <numFmt numFmtId="174" formatCode="#,##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sz val="10"/>
      <name val="Arial"/>
      <family val="2"/>
    </font>
    <font>
      <sz val="11"/>
      <color theme="1"/>
      <name val="Arial"/>
      <family val="2"/>
    </font>
    <font>
      <vertAlign val="superscript"/>
      <sz val="11"/>
      <color rgb="FF000000"/>
      <name val="Times New Roman"/>
      <family val="1"/>
    </font>
    <font>
      <sz val="11"/>
      <color rgb="FF000000"/>
      <name val="Times New Roman"/>
      <family val="1"/>
    </font>
    <font>
      <sz val="9"/>
      <color indexed="81"/>
      <name val="Tahoma"/>
      <family val="2"/>
    </font>
    <font>
      <b/>
      <sz val="9"/>
      <color indexed="81"/>
      <name val="Tahoma"/>
      <family val="2"/>
    </font>
  </fonts>
  <fills count="19">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s>
  <borders count="59">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0" fontId="13" fillId="0" borderId="0"/>
  </cellStyleXfs>
  <cellXfs count="325">
    <xf numFmtId="0" fontId="0" fillId="0" borderId="0" xfId="0"/>
    <xf numFmtId="0" fontId="4" fillId="0" borderId="0" xfId="0" applyFont="1"/>
    <xf numFmtId="164" fontId="0" fillId="0" borderId="0" xfId="1" applyNumberFormat="1" applyFont="1"/>
    <xf numFmtId="43" fontId="0" fillId="0" borderId="0" xfId="1" applyFont="1"/>
    <xf numFmtId="165" fontId="0" fillId="0" borderId="0" xfId="2" applyNumberFormat="1" applyFont="1"/>
    <xf numFmtId="0" fontId="5" fillId="0" borderId="0" xfId="0" applyFont="1"/>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0" fillId="5" borderId="17" xfId="0" applyFill="1" applyBorder="1"/>
    <xf numFmtId="0" fontId="3" fillId="3" borderId="17" xfId="0" applyFont="1" applyFill="1" applyBorder="1"/>
    <xf numFmtId="0" fontId="3" fillId="3" borderId="15" xfId="0" applyFont="1" applyFill="1" applyBorder="1"/>
    <xf numFmtId="0" fontId="2" fillId="0" borderId="0" xfId="0" applyFont="1"/>
    <xf numFmtId="165" fontId="2" fillId="0" borderId="0" xfId="2" applyNumberFormat="1" applyFont="1"/>
    <xf numFmtId="164" fontId="2" fillId="0" borderId="0" xfId="1" applyNumberFormat="1" applyFont="1"/>
    <xf numFmtId="0" fontId="7" fillId="2" borderId="9" xfId="0" applyFont="1" applyFill="1" applyBorder="1" applyAlignment="1">
      <alignment horizontal="center" vertical="center" wrapText="1"/>
    </xf>
    <xf numFmtId="0" fontId="0" fillId="0" borderId="15" xfId="0" applyBorder="1"/>
    <xf numFmtId="0" fontId="7" fillId="2" borderId="7" xfId="0" applyFont="1" applyFill="1" applyBorder="1" applyAlignment="1">
      <alignment horizontal="center" vertical="center" wrapText="1"/>
    </xf>
    <xf numFmtId="0" fontId="3" fillId="3" borderId="31" xfId="0" applyFont="1" applyFill="1" applyBorder="1"/>
    <xf numFmtId="164" fontId="3" fillId="3" borderId="33" xfId="1" applyNumberFormat="1" applyFont="1" applyFill="1" applyBorder="1" applyAlignment="1"/>
    <xf numFmtId="0" fontId="10" fillId="0" borderId="0" xfId="0" applyFont="1"/>
    <xf numFmtId="0" fontId="7" fillId="2" borderId="37" xfId="0" applyFont="1" applyFill="1" applyBorder="1" applyAlignment="1">
      <alignment horizontal="center" vertical="center" wrapText="1"/>
    </xf>
    <xf numFmtId="164" fontId="7" fillId="2" borderId="11" xfId="1" applyNumberFormat="1" applyFont="1" applyFill="1" applyBorder="1" applyAlignment="1">
      <alignment horizontal="center" vertical="center" wrapText="1"/>
    </xf>
    <xf numFmtId="0" fontId="7" fillId="7" borderId="37" xfId="0" applyFont="1" applyFill="1" applyBorder="1" applyAlignment="1">
      <alignment horizontal="center" vertical="center" wrapText="1"/>
    </xf>
    <xf numFmtId="0" fontId="7" fillId="7" borderId="7" xfId="0" applyFont="1" applyFill="1" applyBorder="1" applyAlignment="1">
      <alignment horizontal="center" vertical="center" wrapText="1"/>
    </xf>
    <xf numFmtId="164" fontId="7" fillId="7" borderId="11" xfId="1" applyNumberFormat="1"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8" xfId="0" applyFont="1" applyFill="1" applyBorder="1" applyAlignment="1">
      <alignment horizontal="center" vertical="center" wrapText="1"/>
    </xf>
    <xf numFmtId="164" fontId="3" fillId="3" borderId="39" xfId="1" applyNumberFormat="1" applyFont="1" applyFill="1" applyBorder="1" applyAlignment="1"/>
    <xf numFmtId="0" fontId="3" fillId="3" borderId="28" xfId="0" applyFont="1" applyFill="1" applyBorder="1"/>
    <xf numFmtId="0" fontId="3" fillId="3" borderId="40"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3" fillId="3" borderId="42" xfId="0" applyFont="1" applyFill="1" applyBorder="1"/>
    <xf numFmtId="0" fontId="3" fillId="3" borderId="44" xfId="0" applyFont="1" applyFill="1" applyBorder="1"/>
    <xf numFmtId="0" fontId="3" fillId="3" borderId="46" xfId="0" applyFont="1" applyFill="1" applyBorder="1"/>
    <xf numFmtId="0" fontId="7" fillId="2" borderId="18"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0" fillId="0" borderId="16" xfId="0" applyBorder="1" applyAlignment="1">
      <alignment horizontal="center" vertical="center"/>
    </xf>
    <xf numFmtId="0" fontId="7" fillId="7" borderId="18"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41"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0" fillId="5" borderId="0" xfId="0" applyFill="1"/>
    <xf numFmtId="164" fontId="3" fillId="5" borderId="0" xfId="1" applyNumberFormat="1" applyFont="1" applyFill="1" applyBorder="1" applyAlignment="1"/>
    <xf numFmtId="165" fontId="3" fillId="5" borderId="0" xfId="2" applyNumberFormat="1" applyFont="1" applyFill="1" applyBorder="1" applyAlignment="1"/>
    <xf numFmtId="164" fontId="0" fillId="5" borderId="0" xfId="1" applyNumberFormat="1" applyFont="1" applyFill="1" applyBorder="1" applyAlignment="1">
      <alignment horizontal="right"/>
    </xf>
    <xf numFmtId="165" fontId="0" fillId="5" borderId="0" xfId="2" applyNumberFormat="1" applyFont="1" applyFill="1" applyBorder="1"/>
    <xf numFmtId="164" fontId="0" fillId="5" borderId="0" xfId="1" applyNumberFormat="1" applyFont="1" applyFill="1" applyBorder="1"/>
    <xf numFmtId="0" fontId="6" fillId="2" borderId="49" xfId="0" applyFont="1" applyFill="1" applyBorder="1" applyAlignment="1">
      <alignment horizontal="center" vertical="center" wrapText="1"/>
    </xf>
    <xf numFmtId="0" fontId="0" fillId="5" borderId="15" xfId="0" applyFill="1" applyBorder="1"/>
    <xf numFmtId="0" fontId="0" fillId="0" borderId="15" xfId="0" applyBorder="1" applyAlignment="1">
      <alignment horizontal="left" vertical="center" wrapText="1"/>
    </xf>
    <xf numFmtId="9" fontId="0" fillId="0" borderId="0" xfId="0" applyNumberFormat="1"/>
    <xf numFmtId="0" fontId="0" fillId="2" borderId="15" xfId="0" applyFill="1" applyBorder="1" applyAlignment="1">
      <alignment vertical="center" wrapText="1"/>
    </xf>
    <xf numFmtId="0" fontId="0" fillId="5" borderId="15" xfId="0" applyFill="1" applyBorder="1" applyAlignment="1">
      <alignment horizontal="left" vertical="center" wrapText="1"/>
    </xf>
    <xf numFmtId="0" fontId="0" fillId="2" borderId="17" xfId="0" applyFill="1" applyBorder="1" applyAlignment="1">
      <alignment vertical="center" wrapText="1"/>
    </xf>
    <xf numFmtId="0" fontId="0" fillId="5" borderId="17" xfId="0" applyFill="1" applyBorder="1" applyAlignment="1">
      <alignment horizontal="left" vertical="center"/>
    </xf>
    <xf numFmtId="164" fontId="7" fillId="2" borderId="12" xfId="1" applyNumberFormat="1" applyFont="1" applyFill="1" applyBorder="1" applyAlignment="1">
      <alignment horizontal="center" vertical="center" wrapText="1"/>
    </xf>
    <xf numFmtId="0" fontId="0" fillId="0" borderId="15" xfId="0" applyBorder="1" applyAlignment="1">
      <alignment horizontal="center" vertical="center"/>
    </xf>
    <xf numFmtId="0" fontId="6" fillId="2" borderId="28"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3" fillId="3" borderId="5" xfId="0" applyFont="1" applyFill="1" applyBorder="1"/>
    <xf numFmtId="0" fontId="3" fillId="3" borderId="7" xfId="0" applyFont="1" applyFill="1" applyBorder="1"/>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8" borderId="17" xfId="0" applyFont="1" applyFill="1" applyBorder="1"/>
    <xf numFmtId="0" fontId="0" fillId="0" borderId="17" xfId="0" applyBorder="1" applyAlignment="1">
      <alignment horizontal="left" vertical="center" wrapText="1"/>
    </xf>
    <xf numFmtId="0" fontId="6" fillId="7" borderId="1" xfId="0" applyFont="1" applyFill="1" applyBorder="1" applyAlignment="1">
      <alignment horizontal="center" vertical="center" wrapText="1"/>
    </xf>
    <xf numFmtId="0" fontId="0" fillId="0" borderId="20" xfId="0" applyBorder="1" applyAlignment="1">
      <alignment horizontal="center" vertical="center"/>
    </xf>
    <xf numFmtId="0" fontId="3" fillId="3" borderId="2" xfId="0" applyFont="1" applyFill="1" applyBorder="1"/>
    <xf numFmtId="0" fontId="3" fillId="3" borderId="50" xfId="0" applyFont="1" applyFill="1" applyBorder="1"/>
    <xf numFmtId="0" fontId="3" fillId="3" borderId="2" xfId="0" applyFont="1" applyFill="1" applyBorder="1" applyAlignment="1">
      <alignment horizontal="center" vertical="center"/>
    </xf>
    <xf numFmtId="0" fontId="3" fillId="3" borderId="32"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0" fillId="9" borderId="27" xfId="0" applyFill="1" applyBorder="1" applyAlignment="1" applyProtection="1">
      <alignment horizontal="center" vertical="center"/>
      <protection hidden="1"/>
    </xf>
    <xf numFmtId="0" fontId="0" fillId="10" borderId="15" xfId="0" applyFill="1" applyBorder="1" applyAlignment="1" applyProtection="1">
      <alignment horizontal="center" vertical="center" wrapText="1"/>
      <protection hidden="1"/>
    </xf>
    <xf numFmtId="0" fontId="0" fillId="13" borderId="15" xfId="0" applyFill="1" applyBorder="1" applyAlignment="1" applyProtection="1">
      <alignment horizontal="center" vertical="center"/>
      <protection hidden="1"/>
    </xf>
    <xf numFmtId="0" fontId="10" fillId="13" borderId="15" xfId="0" applyFont="1" applyFill="1" applyBorder="1" applyAlignment="1" applyProtection="1">
      <alignment horizontal="center" vertical="center"/>
      <protection hidden="1"/>
    </xf>
    <xf numFmtId="0" fontId="10" fillId="13" borderId="25" xfId="0" applyFont="1" applyFill="1" applyBorder="1" applyAlignment="1" applyProtection="1">
      <alignment horizontal="center" vertical="center"/>
      <protection hidden="1"/>
    </xf>
    <xf numFmtId="0" fontId="0" fillId="14" borderId="15" xfId="0" applyFill="1" applyBorder="1" applyAlignment="1" applyProtection="1">
      <alignment horizontal="center" vertical="center" wrapText="1"/>
      <protection hidden="1"/>
    </xf>
    <xf numFmtId="44" fontId="0" fillId="15" borderId="15" xfId="0" applyNumberFormat="1" applyFill="1" applyBorder="1" applyAlignment="1" applyProtection="1">
      <alignment horizontal="center" vertical="center" wrapText="1"/>
      <protection hidden="1"/>
    </xf>
    <xf numFmtId="0" fontId="10" fillId="16" borderId="15" xfId="0" applyFont="1" applyFill="1" applyBorder="1" applyAlignment="1" applyProtection="1">
      <alignment horizontal="center" vertical="center" wrapText="1"/>
      <protection hidden="1"/>
    </xf>
    <xf numFmtId="0" fontId="0" fillId="16" borderId="15" xfId="0" applyFill="1" applyBorder="1" applyAlignment="1" applyProtection="1">
      <alignment horizontal="center" vertical="center" wrapText="1"/>
      <protection hidden="1"/>
    </xf>
    <xf numFmtId="0" fontId="0" fillId="0" borderId="15" xfId="0" applyBorder="1" applyProtection="1">
      <protection hidden="1"/>
    </xf>
    <xf numFmtId="0" fontId="0" fillId="0" borderId="30" xfId="0" applyBorder="1" applyProtection="1">
      <protection hidden="1"/>
    </xf>
    <xf numFmtId="0" fontId="0" fillId="0" borderId="27" xfId="0" applyBorder="1" applyProtection="1">
      <protection hidden="1"/>
    </xf>
    <xf numFmtId="44" fontId="0" fillId="0" borderId="15" xfId="2" applyFont="1" applyBorder="1" applyProtection="1">
      <protection hidden="1"/>
    </xf>
    <xf numFmtId="44" fontId="0" fillId="0" borderId="15" xfId="2" applyFont="1" applyBorder="1" applyProtection="1">
      <protection locked="0"/>
    </xf>
    <xf numFmtId="166" fontId="0" fillId="0" borderId="15" xfId="0" applyNumberFormat="1" applyBorder="1"/>
    <xf numFmtId="0" fontId="12" fillId="17" borderId="15" xfId="5" applyFont="1" applyFill="1" applyBorder="1" applyAlignment="1">
      <alignment horizontal="center"/>
    </xf>
    <xf numFmtId="49" fontId="0" fillId="0" borderId="15" xfId="0" applyNumberFormat="1" applyBorder="1"/>
    <xf numFmtId="0" fontId="12" fillId="17" borderId="25" xfId="5" applyFont="1" applyFill="1" applyBorder="1" applyAlignment="1">
      <alignment horizontal="center"/>
    </xf>
    <xf numFmtId="0" fontId="8" fillId="0" borderId="15" xfId="5" applyBorder="1"/>
    <xf numFmtId="3" fontId="0" fillId="0" borderId="27" xfId="0" applyNumberFormat="1" applyBorder="1" applyProtection="1">
      <protection hidden="1"/>
    </xf>
    <xf numFmtId="2" fontId="0" fillId="0" borderId="15" xfId="0" applyNumberFormat="1" applyBorder="1"/>
    <xf numFmtId="164" fontId="7" fillId="2" borderId="13" xfId="1" applyNumberFormat="1" applyFont="1" applyFill="1" applyBorder="1" applyAlignment="1">
      <alignment horizontal="center" vertical="center" wrapText="1"/>
    </xf>
    <xf numFmtId="0" fontId="0" fillId="2" borderId="30" xfId="0" applyFill="1" applyBorder="1" applyAlignment="1">
      <alignment vertical="center" wrapText="1"/>
    </xf>
    <xf numFmtId="0" fontId="3" fillId="3" borderId="30" xfId="0" applyFont="1" applyFill="1" applyBorder="1"/>
    <xf numFmtId="0" fontId="3" fillId="3" borderId="36" xfId="0" applyFont="1" applyFill="1" applyBorder="1"/>
    <xf numFmtId="0" fontId="7" fillId="2" borderId="6" xfId="0" applyFont="1" applyFill="1" applyBorder="1" applyAlignment="1">
      <alignment horizontal="center" vertical="center" wrapText="1"/>
    </xf>
    <xf numFmtId="44" fontId="0" fillId="0" borderId="15" xfId="2" applyFont="1" applyFill="1" applyBorder="1" applyProtection="1">
      <protection hidden="1"/>
    </xf>
    <xf numFmtId="0" fontId="3" fillId="0" borderId="27" xfId="0" applyFont="1" applyBorder="1" applyProtection="1">
      <protection hidden="1"/>
    </xf>
    <xf numFmtId="0" fontId="14" fillId="0" borderId="0" xfId="0" applyFont="1" applyAlignment="1">
      <alignment vertical="center"/>
    </xf>
    <xf numFmtId="167" fontId="0" fillId="0" borderId="0" xfId="0" applyNumberFormat="1"/>
    <xf numFmtId="43" fontId="3" fillId="5" borderId="0" xfId="1" applyFont="1" applyFill="1" applyBorder="1" applyAlignment="1"/>
    <xf numFmtId="43" fontId="3" fillId="0" borderId="0" xfId="1" applyFont="1" applyFill="1" applyBorder="1" applyAlignment="1"/>
    <xf numFmtId="43" fontId="0" fillId="0" borderId="0" xfId="0" applyNumberFormat="1" applyAlignment="1">
      <alignment vertical="center" wrapText="1"/>
    </xf>
    <xf numFmtId="43" fontId="0" fillId="0" borderId="0" xfId="1" applyFont="1" applyFill="1" applyBorder="1" applyAlignment="1">
      <alignment horizontal="right"/>
    </xf>
    <xf numFmtId="44" fontId="0" fillId="0" borderId="0" xfId="0" applyNumberFormat="1"/>
    <xf numFmtId="0" fontId="0" fillId="0" borderId="30" xfId="0" applyBorder="1" applyAlignment="1">
      <alignment horizontal="left" vertical="center" wrapText="1"/>
    </xf>
    <xf numFmtId="0" fontId="0" fillId="0" borderId="30" xfId="0" applyBorder="1"/>
    <xf numFmtId="0" fontId="0" fillId="5" borderId="29" xfId="0" applyFill="1" applyBorder="1"/>
    <xf numFmtId="0" fontId="0" fillId="5" borderId="54" xfId="0" applyFill="1" applyBorder="1"/>
    <xf numFmtId="3" fontId="0" fillId="0" borderId="20" xfId="0" applyNumberFormat="1" applyBorder="1" applyAlignment="1">
      <alignment horizontal="center" vertical="center"/>
    </xf>
    <xf numFmtId="3" fontId="10" fillId="0" borderId="15" xfId="0" applyNumberFormat="1" applyFont="1" applyBorder="1" applyAlignment="1">
      <alignment horizontal="center" vertical="center"/>
    </xf>
    <xf numFmtId="3" fontId="0" fillId="0" borderId="16" xfId="0" applyNumberFormat="1" applyBorder="1" applyAlignment="1">
      <alignment horizontal="center" vertical="center"/>
    </xf>
    <xf numFmtId="3" fontId="0" fillId="0" borderId="21" xfId="0" applyNumberFormat="1" applyBorder="1" applyAlignment="1">
      <alignment horizontal="center" vertical="center"/>
    </xf>
    <xf numFmtId="42" fontId="2" fillId="0" borderId="0" xfId="0" applyNumberFormat="1" applyFont="1"/>
    <xf numFmtId="3" fontId="10" fillId="0" borderId="20" xfId="0" applyNumberFormat="1" applyFont="1" applyBorder="1" applyAlignment="1">
      <alignment horizontal="center" vertical="center"/>
    </xf>
    <xf numFmtId="3" fontId="10" fillId="0" borderId="21" xfId="0" applyNumberFormat="1" applyFont="1" applyBorder="1" applyAlignment="1">
      <alignment horizontal="center" vertical="center"/>
    </xf>
    <xf numFmtId="0" fontId="0" fillId="5" borderId="30" xfId="0" applyFill="1" applyBorder="1" applyAlignment="1">
      <alignment horizontal="left" vertical="center" wrapText="1"/>
    </xf>
    <xf numFmtId="0" fontId="0" fillId="5" borderId="30" xfId="0" applyFill="1" applyBorder="1"/>
    <xf numFmtId="164" fontId="3" fillId="3" borderId="30" xfId="1" applyNumberFormat="1" applyFont="1" applyFill="1" applyBorder="1" applyAlignment="1"/>
    <xf numFmtId="0" fontId="3" fillId="3" borderId="39" xfId="0" applyFont="1" applyFill="1" applyBorder="1"/>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164" fontId="7" fillId="2" borderId="10" xfId="1" applyNumberFormat="1" applyFont="1" applyFill="1" applyBorder="1" applyAlignment="1">
      <alignment horizontal="center" vertical="center" wrapText="1"/>
    </xf>
    <xf numFmtId="0" fontId="3" fillId="3" borderId="1" xfId="0" applyFont="1" applyFill="1" applyBorder="1"/>
    <xf numFmtId="3" fontId="0" fillId="5" borderId="7" xfId="0" applyNumberFormat="1" applyFill="1" applyBorder="1" applyAlignment="1">
      <alignment horizontal="center"/>
    </xf>
    <xf numFmtId="9" fontId="1" fillId="5" borderId="6" xfId="3" applyFont="1" applyFill="1" applyBorder="1" applyAlignment="1">
      <alignment horizontal="center"/>
    </xf>
    <xf numFmtId="9" fontId="1" fillId="5" borderId="14" xfId="3" applyFont="1" applyFill="1" applyBorder="1" applyAlignment="1">
      <alignment horizontal="center"/>
    </xf>
    <xf numFmtId="9" fontId="1" fillId="5" borderId="16" xfId="3" applyFont="1" applyFill="1" applyBorder="1" applyAlignment="1">
      <alignment horizontal="center"/>
    </xf>
    <xf numFmtId="167" fontId="0" fillId="0" borderId="15" xfId="2" applyNumberFormat="1" applyFont="1" applyBorder="1" applyAlignment="1">
      <alignment horizontal="center" vertical="center"/>
    </xf>
    <xf numFmtId="3" fontId="0" fillId="0" borderId="15" xfId="0" applyNumberFormat="1" applyBorder="1" applyAlignment="1">
      <alignment horizontal="center" vertical="center"/>
    </xf>
    <xf numFmtId="9" fontId="1" fillId="5" borderId="21" xfId="3" applyFont="1" applyFill="1" applyBorder="1" applyAlignment="1">
      <alignment horizontal="center"/>
    </xf>
    <xf numFmtId="3" fontId="3" fillId="3" borderId="17" xfId="0" applyNumberFormat="1" applyFont="1" applyFill="1" applyBorder="1" applyAlignment="1">
      <alignment horizontal="center"/>
    </xf>
    <xf numFmtId="3" fontId="3" fillId="3" borderId="15" xfId="0" applyNumberFormat="1" applyFont="1" applyFill="1" applyBorder="1" applyAlignment="1">
      <alignment horizontal="center"/>
    </xf>
    <xf numFmtId="9" fontId="3" fillId="3" borderId="16" xfId="3" applyFont="1" applyFill="1" applyBorder="1" applyAlignment="1">
      <alignment horizontal="center"/>
    </xf>
    <xf numFmtId="167" fontId="3" fillId="3" borderId="27" xfId="2" applyNumberFormat="1" applyFont="1" applyFill="1" applyBorder="1" applyAlignment="1">
      <alignment horizontal="center"/>
    </xf>
    <xf numFmtId="167" fontId="3" fillId="3" borderId="15" xfId="2" applyNumberFormat="1" applyFont="1" applyFill="1" applyBorder="1" applyAlignment="1">
      <alignment horizontal="center"/>
    </xf>
    <xf numFmtId="167" fontId="3" fillId="3" borderId="15" xfId="0" applyNumberFormat="1" applyFont="1" applyFill="1" applyBorder="1" applyAlignment="1">
      <alignment horizontal="center"/>
    </xf>
    <xf numFmtId="0" fontId="0" fillId="2" borderId="17"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167" fontId="0" fillId="2" borderId="27" xfId="0" applyNumberFormat="1" applyFill="1" applyBorder="1" applyAlignment="1">
      <alignment horizontal="center" vertical="center" wrapText="1"/>
    </xf>
    <xf numFmtId="167" fontId="0" fillId="2" borderId="15" xfId="0" applyNumberFormat="1" applyFill="1" applyBorder="1" applyAlignment="1">
      <alignment horizontal="center" vertical="center" wrapText="1"/>
    </xf>
    <xf numFmtId="3" fontId="0" fillId="2" borderId="15"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3" fillId="3" borderId="17" xfId="0" applyFont="1" applyFill="1"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167" fontId="3" fillId="3" borderId="27" xfId="0" applyNumberFormat="1" applyFont="1" applyFill="1" applyBorder="1" applyAlignment="1">
      <alignment horizontal="center"/>
    </xf>
    <xf numFmtId="164" fontId="3" fillId="3" borderId="15" xfId="1" applyNumberFormat="1" applyFont="1" applyFill="1" applyBorder="1" applyAlignment="1">
      <alignment horizontal="center"/>
    </xf>
    <xf numFmtId="3" fontId="3" fillId="3" borderId="15" xfId="1" applyNumberFormat="1" applyFont="1" applyFill="1" applyBorder="1" applyAlignment="1">
      <alignment horizontal="center"/>
    </xf>
    <xf numFmtId="164" fontId="3" fillId="3" borderId="23" xfId="1" applyNumberFormat="1" applyFont="1" applyFill="1" applyBorder="1" applyAlignment="1">
      <alignment horizontal="center"/>
    </xf>
    <xf numFmtId="167" fontId="0" fillId="0" borderId="15" xfId="0" applyNumberFormat="1" applyBorder="1" applyAlignment="1">
      <alignment horizontal="center" vertical="center"/>
    </xf>
    <xf numFmtId="3" fontId="0" fillId="0" borderId="15" xfId="0" applyNumberFormat="1" applyBorder="1" applyAlignment="1">
      <alignment horizontal="center"/>
    </xf>
    <xf numFmtId="167" fontId="3" fillId="3" borderId="25" xfId="0" applyNumberFormat="1" applyFont="1" applyFill="1" applyBorder="1" applyAlignment="1">
      <alignment horizontal="center"/>
    </xf>
    <xf numFmtId="0" fontId="0" fillId="4" borderId="15" xfId="0" applyFill="1" applyBorder="1" applyAlignment="1">
      <alignment horizontal="center"/>
    </xf>
    <xf numFmtId="4" fontId="0" fillId="4" borderId="23" xfId="0" applyNumberFormat="1" applyFill="1" applyBorder="1" applyAlignment="1">
      <alignment horizontal="center"/>
    </xf>
    <xf numFmtId="0" fontId="0" fillId="0" borderId="15" xfId="0" applyBorder="1" applyAlignment="1">
      <alignment horizontal="center"/>
    </xf>
    <xf numFmtId="167" fontId="0" fillId="5" borderId="15" xfId="2" applyNumberFormat="1" applyFont="1" applyFill="1" applyBorder="1" applyAlignment="1">
      <alignment horizontal="center"/>
    </xf>
    <xf numFmtId="3" fontId="3" fillId="3" borderId="23" xfId="0" applyNumberFormat="1" applyFont="1" applyFill="1" applyBorder="1" applyAlignment="1">
      <alignment horizontal="center"/>
    </xf>
    <xf numFmtId="164" fontId="3" fillId="6" borderId="17" xfId="1" applyNumberFormat="1" applyFont="1" applyFill="1" applyBorder="1" applyAlignment="1">
      <alignment horizontal="center"/>
    </xf>
    <xf numFmtId="164" fontId="3" fillId="6" borderId="15" xfId="1" applyNumberFormat="1" applyFont="1" applyFill="1" applyBorder="1" applyAlignment="1">
      <alignment horizontal="center"/>
    </xf>
    <xf numFmtId="164" fontId="3" fillId="6" borderId="16" xfId="1" applyNumberFormat="1" applyFont="1" applyFill="1" applyBorder="1" applyAlignment="1">
      <alignment horizontal="center"/>
    </xf>
    <xf numFmtId="164" fontId="3" fillId="3" borderId="16" xfId="1" applyNumberFormat="1" applyFont="1" applyFill="1" applyBorder="1" applyAlignment="1">
      <alignment horizontal="center"/>
    </xf>
    <xf numFmtId="164" fontId="3" fillId="6" borderId="23" xfId="1" applyNumberFormat="1" applyFont="1" applyFill="1" applyBorder="1" applyAlignment="1">
      <alignment horizontal="center"/>
    </xf>
    <xf numFmtId="3" fontId="3" fillId="3" borderId="31" xfId="0" applyNumberFormat="1" applyFont="1" applyFill="1" applyBorder="1" applyAlignment="1">
      <alignment horizontal="center"/>
    </xf>
    <xf numFmtId="3" fontId="3" fillId="3" borderId="33" xfId="0" applyNumberFormat="1" applyFont="1" applyFill="1" applyBorder="1" applyAlignment="1">
      <alignment horizontal="center"/>
    </xf>
    <xf numFmtId="9" fontId="3" fillId="3" borderId="10" xfId="3" applyFont="1" applyFill="1" applyBorder="1" applyAlignment="1">
      <alignment horizontal="center"/>
    </xf>
    <xf numFmtId="167" fontId="3" fillId="3" borderId="51" xfId="0" applyNumberFormat="1" applyFont="1" applyFill="1" applyBorder="1" applyAlignment="1">
      <alignment horizontal="center"/>
    </xf>
    <xf numFmtId="9" fontId="3" fillId="3" borderId="34" xfId="3" applyFont="1" applyFill="1" applyBorder="1" applyAlignment="1">
      <alignment horizontal="center"/>
    </xf>
    <xf numFmtId="3" fontId="3" fillId="3" borderId="33" xfId="1" applyNumberFormat="1" applyFont="1" applyFill="1" applyBorder="1" applyAlignment="1">
      <alignment horizontal="center"/>
    </xf>
    <xf numFmtId="168" fontId="10" fillId="0" borderId="20" xfId="2" applyNumberFormat="1" applyFont="1" applyBorder="1" applyAlignment="1">
      <alignment horizontal="center" vertical="center"/>
    </xf>
    <xf numFmtId="168" fontId="0" fillId="0" borderId="20" xfId="0" applyNumberFormat="1" applyBorder="1" applyAlignment="1">
      <alignment horizontal="center" vertical="center"/>
    </xf>
    <xf numFmtId="168" fontId="0" fillId="0" borderId="15" xfId="0" applyNumberFormat="1" applyBorder="1" applyAlignment="1">
      <alignment horizontal="center" vertical="center"/>
    </xf>
    <xf numFmtId="168" fontId="10" fillId="0" borderId="15" xfId="2" applyNumberFormat="1" applyFont="1" applyBorder="1" applyAlignment="1">
      <alignment horizontal="center" vertical="center"/>
    </xf>
    <xf numFmtId="168" fontId="10" fillId="0" borderId="20" xfId="0" applyNumberFormat="1" applyFont="1" applyBorder="1" applyAlignment="1">
      <alignment horizontal="center" vertical="center"/>
    </xf>
    <xf numFmtId="168" fontId="0" fillId="0" borderId="15" xfId="2" applyNumberFormat="1" applyFont="1" applyBorder="1" applyAlignment="1">
      <alignment horizontal="center" vertical="center"/>
    </xf>
    <xf numFmtId="168" fontId="10" fillId="0" borderId="15" xfId="2" applyNumberFormat="1" applyFont="1" applyBorder="1" applyAlignment="1">
      <alignment horizontal="center"/>
    </xf>
    <xf numFmtId="168" fontId="3" fillId="3" borderId="15" xfId="2" applyNumberFormat="1" applyFont="1" applyFill="1" applyBorder="1" applyAlignment="1">
      <alignment horizontal="center"/>
    </xf>
    <xf numFmtId="168" fontId="0" fillId="2" borderId="15" xfId="2" applyNumberFormat="1" applyFont="1" applyFill="1" applyBorder="1" applyAlignment="1">
      <alignment horizontal="center" vertical="center" wrapText="1"/>
    </xf>
    <xf numFmtId="168" fontId="0" fillId="2" borderId="15" xfId="0" applyNumberFormat="1" applyFill="1" applyBorder="1" applyAlignment="1">
      <alignment horizontal="center" vertical="center" wrapText="1"/>
    </xf>
    <xf numFmtId="168" fontId="3" fillId="3" borderId="15" xfId="0" applyNumberFormat="1" applyFont="1" applyFill="1" applyBorder="1" applyAlignment="1">
      <alignment horizontal="center"/>
    </xf>
    <xf numFmtId="168" fontId="3" fillId="3" borderId="41" xfId="2" applyNumberFormat="1" applyFont="1" applyFill="1" applyBorder="1" applyAlignment="1">
      <alignment horizontal="center"/>
    </xf>
    <xf numFmtId="168" fontId="3" fillId="3" borderId="55" xfId="2" applyNumberFormat="1" applyFont="1" applyFill="1" applyBorder="1" applyAlignment="1">
      <alignment horizontal="center"/>
    </xf>
    <xf numFmtId="0" fontId="10" fillId="0" borderId="7" xfId="0" applyFont="1" applyBorder="1" applyAlignment="1">
      <alignment horizontal="center" vertical="center"/>
    </xf>
    <xf numFmtId="1" fontId="10" fillId="0" borderId="20" xfId="0" applyNumberFormat="1" applyFont="1" applyBorder="1" applyAlignment="1">
      <alignment horizontal="center" vertical="center"/>
    </xf>
    <xf numFmtId="1" fontId="3" fillId="3" borderId="15" xfId="0" applyNumberFormat="1" applyFont="1" applyFill="1" applyBorder="1" applyAlignment="1">
      <alignment horizontal="center"/>
    </xf>
    <xf numFmtId="3" fontId="0" fillId="2" borderId="16" xfId="0" applyNumberFormat="1" applyFill="1" applyBorder="1" applyAlignment="1">
      <alignment horizontal="center" vertical="center" wrapText="1"/>
    </xf>
    <xf numFmtId="3" fontId="3" fillId="3" borderId="16" xfId="1" applyNumberFormat="1" applyFont="1" applyFill="1" applyBorder="1" applyAlignment="1">
      <alignment horizontal="center"/>
    </xf>
    <xf numFmtId="3" fontId="10" fillId="0" borderId="15" xfId="0" applyNumberFormat="1" applyFont="1" applyBorder="1" applyAlignment="1">
      <alignment horizontal="center"/>
    </xf>
    <xf numFmtId="1" fontId="0" fillId="0" borderId="15" xfId="0" applyNumberFormat="1" applyBorder="1" applyAlignment="1">
      <alignment horizontal="center" vertical="center"/>
    </xf>
    <xf numFmtId="3" fontId="3" fillId="6" borderId="31" xfId="1" applyNumberFormat="1" applyFont="1" applyFill="1" applyBorder="1" applyAlignment="1">
      <alignment horizontal="center"/>
    </xf>
    <xf numFmtId="164" fontId="3" fillId="6" borderId="39" xfId="1" applyNumberFormat="1" applyFont="1" applyFill="1" applyBorder="1" applyAlignment="1">
      <alignment horizontal="center"/>
    </xf>
    <xf numFmtId="164" fontId="3" fillId="6" borderId="12" xfId="1" applyNumberFormat="1" applyFont="1" applyFill="1" applyBorder="1" applyAlignment="1">
      <alignment horizontal="center"/>
    </xf>
    <xf numFmtId="3" fontId="3" fillId="6" borderId="34" xfId="1" applyNumberFormat="1" applyFont="1" applyFill="1" applyBorder="1" applyAlignment="1">
      <alignment horizontal="center"/>
    </xf>
    <xf numFmtId="167" fontId="0" fillId="0" borderId="15" xfId="2" applyNumberFormat="1" applyFont="1" applyBorder="1" applyAlignment="1">
      <alignment horizontal="center"/>
    </xf>
    <xf numFmtId="164" fontId="3" fillId="6" borderId="31" xfId="1" applyNumberFormat="1" applyFont="1" applyFill="1" applyBorder="1" applyAlignment="1">
      <alignment horizontal="center"/>
    </xf>
    <xf numFmtId="164" fontId="3" fillId="6" borderId="34" xfId="1" applyNumberFormat="1" applyFont="1" applyFill="1" applyBorder="1" applyAlignment="1">
      <alignment horizontal="center"/>
    </xf>
    <xf numFmtId="167" fontId="3" fillId="3" borderId="31" xfId="2" applyNumberFormat="1" applyFont="1" applyFill="1" applyBorder="1" applyAlignment="1">
      <alignment horizontal="center"/>
    </xf>
    <xf numFmtId="171" fontId="0" fillId="0" borderId="0" xfId="0" applyNumberFormat="1"/>
    <xf numFmtId="0" fontId="7" fillId="2" borderId="56"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3" fillId="3" borderId="48" xfId="0" applyFont="1" applyFill="1" applyBorder="1"/>
    <xf numFmtId="0" fontId="3" fillId="3" borderId="18" xfId="0" applyFont="1" applyFill="1" applyBorder="1"/>
    <xf numFmtId="0" fontId="3" fillId="3" borderId="58" xfId="0" applyFont="1" applyFill="1" applyBorder="1"/>
    <xf numFmtId="164" fontId="3" fillId="3" borderId="58" xfId="1" applyNumberFormat="1" applyFont="1" applyFill="1" applyBorder="1" applyAlignment="1"/>
    <xf numFmtId="164" fontId="3" fillId="3" borderId="3" xfId="1" applyNumberFormat="1" applyFont="1" applyFill="1" applyBorder="1" applyAlignment="1"/>
    <xf numFmtId="0" fontId="0" fillId="5" borderId="29" xfId="0" applyFill="1" applyBorder="1" applyAlignment="1">
      <alignment wrapText="1"/>
    </xf>
    <xf numFmtId="0" fontId="3" fillId="3" borderId="26" xfId="0" applyFont="1" applyFill="1" applyBorder="1" applyAlignment="1">
      <alignment horizontal="center"/>
    </xf>
    <xf numFmtId="3" fontId="0" fillId="5" borderId="53" xfId="0" applyNumberFormat="1" applyFill="1" applyBorder="1" applyAlignment="1">
      <alignment horizontal="center"/>
    </xf>
    <xf numFmtId="3" fontId="3" fillId="3" borderId="27" xfId="0" applyNumberFormat="1" applyFont="1" applyFill="1" applyBorder="1" applyAlignment="1">
      <alignment horizontal="center"/>
    </xf>
    <xf numFmtId="3" fontId="0" fillId="2" borderId="27" xfId="0" applyNumberFormat="1" applyFill="1" applyBorder="1" applyAlignment="1">
      <alignment horizontal="center" vertical="center" wrapText="1"/>
    </xf>
    <xf numFmtId="3" fontId="3" fillId="3" borderId="27" xfId="1" applyNumberFormat="1" applyFont="1" applyFill="1" applyBorder="1" applyAlignment="1">
      <alignment horizontal="center"/>
    </xf>
    <xf numFmtId="9" fontId="0" fillId="4" borderId="27" xfId="3" applyFont="1" applyFill="1" applyBorder="1" applyAlignment="1">
      <alignment horizontal="center"/>
    </xf>
    <xf numFmtId="3" fontId="3" fillId="6" borderId="27" xfId="1" applyNumberFormat="1" applyFont="1" applyFill="1" applyBorder="1" applyAlignment="1">
      <alignment horizontal="center"/>
    </xf>
    <xf numFmtId="3" fontId="3" fillId="3" borderId="51" xfId="1" applyNumberFormat="1" applyFont="1" applyFill="1" applyBorder="1" applyAlignment="1">
      <alignment horizontal="center"/>
    </xf>
    <xf numFmtId="9" fontId="0" fillId="4" borderId="16" xfId="3" applyFont="1" applyFill="1" applyBorder="1" applyAlignment="1">
      <alignment horizontal="center"/>
    </xf>
    <xf numFmtId="1" fontId="0" fillId="0" borderId="16" xfId="3" applyNumberFormat="1" applyFont="1" applyFill="1" applyBorder="1" applyAlignment="1">
      <alignment horizontal="center"/>
    </xf>
    <xf numFmtId="9" fontId="3" fillId="4" borderId="34" xfId="3" applyFont="1" applyFill="1" applyBorder="1" applyAlignment="1">
      <alignment horizontal="center"/>
    </xf>
    <xf numFmtId="167" fontId="0" fillId="0" borderId="15" xfId="2" applyNumberFormat="1" applyFont="1" applyFill="1" applyBorder="1" applyAlignment="1">
      <alignment horizontal="center" vertical="center"/>
    </xf>
    <xf numFmtId="167" fontId="1" fillId="3" borderId="27" xfId="2" applyNumberFormat="1" applyFont="1" applyFill="1" applyBorder="1" applyAlignment="1">
      <alignment horizontal="center"/>
    </xf>
    <xf numFmtId="167" fontId="1" fillId="3" borderId="15" xfId="1" applyNumberFormat="1" applyFont="1" applyFill="1" applyBorder="1" applyAlignment="1">
      <alignment horizontal="center"/>
    </xf>
    <xf numFmtId="167" fontId="1" fillId="3" borderId="15" xfId="2" applyNumberFormat="1" applyFont="1" applyFill="1" applyBorder="1" applyAlignment="1">
      <alignment horizontal="center"/>
    </xf>
    <xf numFmtId="3" fontId="0" fillId="2" borderId="17" xfId="0" applyNumberFormat="1" applyFill="1" applyBorder="1" applyAlignment="1">
      <alignment horizontal="center" vertical="center" wrapText="1"/>
    </xf>
    <xf numFmtId="3" fontId="0" fillId="4" borderId="17" xfId="0" applyNumberFormat="1" applyFill="1" applyBorder="1" applyAlignment="1">
      <alignment horizontal="center"/>
    </xf>
    <xf numFmtId="3" fontId="0" fillId="4" borderId="15" xfId="0" applyNumberFormat="1" applyFill="1" applyBorder="1" applyAlignment="1">
      <alignment horizontal="center"/>
    </xf>
    <xf numFmtId="3" fontId="10" fillId="18" borderId="19" xfId="0" applyNumberFormat="1" applyFont="1" applyFill="1" applyBorder="1" applyAlignment="1">
      <alignment horizontal="center"/>
    </xf>
    <xf numFmtId="3" fontId="10" fillId="18" borderId="17" xfId="0" applyNumberFormat="1" applyFont="1" applyFill="1" applyBorder="1" applyAlignment="1">
      <alignment horizontal="center" vertical="center"/>
    </xf>
    <xf numFmtId="0" fontId="10" fillId="18" borderId="17" xfId="0" applyFont="1" applyFill="1" applyBorder="1" applyAlignment="1">
      <alignment horizontal="center" vertical="center"/>
    </xf>
    <xf numFmtId="0" fontId="10" fillId="18" borderId="17" xfId="0" applyFont="1" applyFill="1" applyBorder="1" applyAlignment="1">
      <alignment horizontal="center"/>
    </xf>
    <xf numFmtId="173" fontId="10" fillId="0" borderId="20" xfId="2" applyNumberFormat="1" applyFont="1" applyBorder="1" applyAlignment="1">
      <alignment horizontal="center" vertical="center"/>
    </xf>
    <xf numFmtId="4" fontId="0" fillId="0" borderId="0" xfId="0" applyNumberFormat="1"/>
    <xf numFmtId="171" fontId="3" fillId="3" borderId="33" xfId="0" applyNumberFormat="1" applyFont="1" applyFill="1" applyBorder="1" applyAlignment="1">
      <alignment horizontal="center"/>
    </xf>
    <xf numFmtId="3" fontId="10" fillId="18" borderId="5" xfId="0" applyNumberFormat="1" applyFont="1" applyFill="1" applyBorder="1" applyAlignment="1">
      <alignment horizontal="center"/>
    </xf>
    <xf numFmtId="3" fontId="10" fillId="18" borderId="7" xfId="0" applyNumberFormat="1" applyFont="1" applyFill="1" applyBorder="1" applyAlignment="1">
      <alignment horizontal="center"/>
    </xf>
    <xf numFmtId="3" fontId="10" fillId="5" borderId="20" xfId="0" applyNumberFormat="1" applyFont="1" applyFill="1" applyBorder="1" applyAlignment="1">
      <alignment horizontal="center"/>
    </xf>
    <xf numFmtId="3" fontId="10" fillId="18" borderId="15" xfId="0" applyNumberFormat="1" applyFont="1" applyFill="1" applyBorder="1" applyAlignment="1">
      <alignment horizontal="center" vertical="center"/>
    </xf>
    <xf numFmtId="0" fontId="10" fillId="0" borderId="15" xfId="0" applyFont="1" applyBorder="1" applyAlignment="1">
      <alignment horizontal="center" vertical="center"/>
    </xf>
    <xf numFmtId="167" fontId="10" fillId="18" borderId="27" xfId="2" applyNumberFormat="1" applyFont="1" applyFill="1" applyBorder="1" applyAlignment="1">
      <alignment horizontal="center" vertical="center"/>
    </xf>
    <xf numFmtId="167" fontId="10" fillId="0" borderId="15" xfId="2" applyNumberFormat="1" applyFont="1" applyBorder="1" applyAlignment="1">
      <alignment horizontal="center" vertical="center"/>
    </xf>
    <xf numFmtId="167" fontId="10" fillId="18" borderId="20" xfId="0" applyNumberFormat="1" applyFont="1" applyFill="1" applyBorder="1" applyAlignment="1">
      <alignment horizontal="center"/>
    </xf>
    <xf numFmtId="167" fontId="10" fillId="18" borderId="53" xfId="2" applyNumberFormat="1" applyFont="1" applyFill="1" applyBorder="1" applyAlignment="1">
      <alignment horizontal="center"/>
    </xf>
    <xf numFmtId="167" fontId="10" fillId="18" borderId="37" xfId="2" applyNumberFormat="1" applyFont="1" applyFill="1" applyBorder="1" applyAlignment="1">
      <alignment horizontal="center"/>
    </xf>
    <xf numFmtId="167" fontId="10" fillId="18" borderId="7" xfId="0" applyNumberFormat="1" applyFont="1" applyFill="1" applyBorder="1" applyAlignment="1">
      <alignment horizontal="center"/>
    </xf>
    <xf numFmtId="3" fontId="10" fillId="18" borderId="20" xfId="0" applyNumberFormat="1" applyFont="1" applyFill="1" applyBorder="1" applyAlignment="1">
      <alignment horizontal="center"/>
    </xf>
    <xf numFmtId="3" fontId="10" fillId="18" borderId="52" xfId="0" applyNumberFormat="1" applyFont="1" applyFill="1" applyBorder="1" applyAlignment="1">
      <alignment horizontal="center"/>
    </xf>
    <xf numFmtId="3" fontId="10" fillId="18" borderId="17" xfId="0" applyNumberFormat="1" applyFont="1" applyFill="1" applyBorder="1" applyAlignment="1">
      <alignment horizontal="center"/>
    </xf>
    <xf numFmtId="3" fontId="10" fillId="18" borderId="15" xfId="0" applyNumberFormat="1" applyFont="1" applyFill="1" applyBorder="1" applyAlignment="1">
      <alignment horizontal="center"/>
    </xf>
    <xf numFmtId="0" fontId="10" fillId="18" borderId="15" xfId="0" applyFont="1" applyFill="1" applyBorder="1" applyAlignment="1">
      <alignment horizontal="center" vertical="center"/>
    </xf>
    <xf numFmtId="167" fontId="10" fillId="18" borderId="27" xfId="0" applyNumberFormat="1" applyFont="1" applyFill="1" applyBorder="1" applyAlignment="1">
      <alignment horizontal="center" vertical="center"/>
    </xf>
    <xf numFmtId="174" fontId="10" fillId="18" borderId="20" xfId="0" applyNumberFormat="1" applyFont="1" applyFill="1" applyBorder="1" applyAlignment="1">
      <alignment horizontal="center"/>
    </xf>
    <xf numFmtId="174" fontId="10" fillId="18" borderId="15" xfId="0" applyNumberFormat="1" applyFont="1" applyFill="1" applyBorder="1" applyAlignment="1">
      <alignment horizontal="center"/>
    </xf>
    <xf numFmtId="174" fontId="3" fillId="3" borderId="15" xfId="0" applyNumberFormat="1" applyFont="1" applyFill="1" applyBorder="1" applyAlignment="1">
      <alignment horizontal="center"/>
    </xf>
    <xf numFmtId="174" fontId="0" fillId="2" borderId="15" xfId="0" applyNumberFormat="1" applyFill="1" applyBorder="1" applyAlignment="1">
      <alignment horizontal="center" vertical="center" wrapText="1"/>
    </xf>
    <xf numFmtId="174" fontId="3" fillId="3" borderId="15" xfId="1" applyNumberFormat="1" applyFont="1" applyFill="1" applyBorder="1" applyAlignment="1">
      <alignment horizontal="center"/>
    </xf>
    <xf numFmtId="174" fontId="3" fillId="6" borderId="15" xfId="1" applyNumberFormat="1" applyFont="1" applyFill="1" applyBorder="1" applyAlignment="1">
      <alignment horizontal="center"/>
    </xf>
    <xf numFmtId="174" fontId="3" fillId="3" borderId="33" xfId="1" applyNumberFormat="1" applyFont="1" applyFill="1" applyBorder="1" applyAlignment="1">
      <alignment horizontal="center"/>
    </xf>
    <xf numFmtId="0" fontId="10" fillId="0" borderId="15" xfId="0" applyFont="1" applyBorder="1" applyAlignment="1">
      <alignment horizontal="center"/>
    </xf>
    <xf numFmtId="0" fontId="10" fillId="5" borderId="15" xfId="0" applyFont="1" applyFill="1" applyBorder="1" applyAlignment="1">
      <alignment horizontal="center"/>
    </xf>
    <xf numFmtId="0" fontId="10" fillId="18" borderId="15" xfId="0" applyFont="1" applyFill="1" applyBorder="1" applyAlignment="1">
      <alignment horizontal="center"/>
    </xf>
    <xf numFmtId="167" fontId="10" fillId="18" borderId="27" xfId="2" applyNumberFormat="1" applyFont="1" applyFill="1" applyBorder="1" applyAlignment="1">
      <alignment horizontal="center"/>
    </xf>
    <xf numFmtId="3" fontId="10" fillId="5" borderId="15" xfId="0" applyNumberFormat="1" applyFont="1" applyFill="1" applyBorder="1" applyAlignment="1">
      <alignment horizontal="center"/>
    </xf>
    <xf numFmtId="1" fontId="10" fillId="5" borderId="15" xfId="0" applyNumberFormat="1" applyFont="1" applyFill="1" applyBorder="1" applyAlignment="1">
      <alignment horizontal="center"/>
    </xf>
    <xf numFmtId="0" fontId="6" fillId="2" borderId="3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44" xfId="0" applyFont="1" applyFill="1" applyBorder="1" applyAlignment="1">
      <alignment horizontal="center" vertical="center"/>
    </xf>
    <xf numFmtId="0" fontId="6" fillId="7" borderId="36" xfId="0" applyFont="1" applyFill="1" applyBorder="1" applyAlignment="1">
      <alignment horizontal="center" vertical="center"/>
    </xf>
    <xf numFmtId="0" fontId="0" fillId="0" borderId="17" xfId="0" applyBorder="1" applyAlignment="1">
      <alignment horizontal="left" vertical="center" wrapText="1"/>
    </xf>
    <xf numFmtId="0" fontId="6" fillId="2" borderId="38" xfId="0" applyFont="1" applyFill="1" applyBorder="1" applyAlignment="1">
      <alignment horizontal="center" vertical="center"/>
    </xf>
    <xf numFmtId="0" fontId="0" fillId="5" borderId="28" xfId="0" applyFill="1" applyBorder="1" applyAlignment="1">
      <alignment horizontal="left" vertical="center"/>
    </xf>
    <xf numFmtId="0" fontId="0" fillId="5" borderId="19" xfId="0" applyFill="1" applyBorder="1" applyAlignment="1">
      <alignment horizontal="left" vertical="center"/>
    </xf>
    <xf numFmtId="3" fontId="0" fillId="5" borderId="40" xfId="0" applyNumberFormat="1" applyFill="1" applyBorder="1" applyAlignment="1">
      <alignment horizontal="center"/>
    </xf>
    <xf numFmtId="3" fontId="0" fillId="5" borderId="20" xfId="0" applyNumberFormat="1" applyFill="1" applyBorder="1" applyAlignment="1">
      <alignment horizontal="center"/>
    </xf>
    <xf numFmtId="9" fontId="1" fillId="5" borderId="46" xfId="3" applyFont="1" applyFill="1" applyBorder="1" applyAlignment="1">
      <alignment horizontal="center"/>
    </xf>
    <xf numFmtId="9" fontId="1" fillId="5" borderId="21" xfId="3" applyFont="1" applyFill="1" applyBorder="1" applyAlignment="1">
      <alignment horizontal="center"/>
    </xf>
    <xf numFmtId="0" fontId="0" fillId="0" borderId="24" xfId="0" applyBorder="1" applyAlignment="1">
      <alignment horizontal="left" vertical="center"/>
    </xf>
    <xf numFmtId="0" fontId="0" fillId="0" borderId="19" xfId="0" applyBorder="1" applyAlignment="1">
      <alignment horizontal="left" vertical="center"/>
    </xf>
    <xf numFmtId="167" fontId="1" fillId="5" borderId="40" xfId="2" applyNumberFormat="1" applyFont="1" applyFill="1" applyBorder="1" applyAlignment="1">
      <alignment horizontal="center"/>
    </xf>
    <xf numFmtId="167" fontId="1" fillId="5" borderId="20" xfId="2" applyNumberFormat="1" applyFont="1" applyFill="1" applyBorder="1" applyAlignment="1">
      <alignment horizontal="center"/>
    </xf>
    <xf numFmtId="167" fontId="1" fillId="5" borderId="25" xfId="2" applyNumberFormat="1" applyFont="1" applyFill="1" applyBorder="1" applyAlignment="1">
      <alignment horizontal="center"/>
    </xf>
    <xf numFmtId="9" fontId="1" fillId="5" borderId="26" xfId="3" applyFont="1" applyFill="1" applyBorder="1" applyAlignment="1">
      <alignment horizont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44" xfId="0" applyFont="1" applyFill="1" applyBorder="1" applyAlignment="1">
      <alignment horizontal="center" vertical="center"/>
    </xf>
    <xf numFmtId="0" fontId="6" fillId="2" borderId="1" xfId="0" applyFont="1" applyFill="1" applyBorder="1" applyAlignment="1">
      <alignment horizontal="center" vertical="center"/>
    </xf>
    <xf numFmtId="164" fontId="7" fillId="2" borderId="32" xfId="1" applyNumberFormat="1" applyFont="1" applyFill="1" applyBorder="1" applyAlignment="1">
      <alignment horizontal="center" vertical="center" wrapText="1"/>
    </xf>
    <xf numFmtId="164" fontId="7" fillId="2" borderId="4" xfId="1" applyNumberFormat="1" applyFont="1" applyFill="1" applyBorder="1" applyAlignment="1">
      <alignment horizontal="center" vertical="center" wrapText="1"/>
    </xf>
    <xf numFmtId="164" fontId="7" fillId="7" borderId="2" xfId="1" applyNumberFormat="1" applyFont="1" applyFill="1" applyBorder="1" applyAlignment="1">
      <alignment horizontal="center" vertical="center" wrapText="1"/>
    </xf>
    <xf numFmtId="164" fontId="7" fillId="7" borderId="3"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64" fontId="7" fillId="2" borderId="45" xfId="1" applyNumberFormat="1" applyFont="1" applyFill="1" applyBorder="1" applyAlignment="1">
      <alignment horizontal="center" vertical="center" wrapText="1"/>
    </xf>
    <xf numFmtId="164" fontId="7" fillId="7" borderId="41" xfId="1" applyNumberFormat="1" applyFont="1" applyFill="1" applyBorder="1" applyAlignment="1">
      <alignment horizontal="center" vertical="center" wrapText="1"/>
    </xf>
    <xf numFmtId="164" fontId="7" fillId="7" borderId="45" xfId="1" applyNumberFormat="1" applyFont="1" applyFill="1" applyBorder="1" applyAlignment="1">
      <alignment horizontal="center" vertical="center" wrapText="1"/>
    </xf>
    <xf numFmtId="0" fontId="0" fillId="9" borderId="22" xfId="0" applyFill="1" applyBorder="1" applyAlignment="1" applyProtection="1">
      <alignment horizontal="center" vertical="center"/>
      <protection hidden="1"/>
    </xf>
    <xf numFmtId="0" fontId="0" fillId="9" borderId="27" xfId="0" applyFill="1" applyBorder="1" applyAlignment="1" applyProtection="1">
      <alignment horizontal="center" vertical="center"/>
      <protection hidden="1"/>
    </xf>
    <xf numFmtId="0" fontId="0" fillId="11" borderId="30" xfId="0" applyFill="1" applyBorder="1" applyAlignment="1" applyProtection="1">
      <alignment horizontal="center" vertical="center"/>
      <protection hidden="1"/>
    </xf>
    <xf numFmtId="0" fontId="0" fillId="11" borderId="22" xfId="0" applyFill="1" applyBorder="1" applyAlignment="1" applyProtection="1">
      <alignment horizontal="center" vertical="center"/>
      <protection hidden="1"/>
    </xf>
    <xf numFmtId="0" fontId="0" fillId="11" borderId="27" xfId="0" applyFill="1" applyBorder="1" applyAlignment="1" applyProtection="1">
      <alignment horizontal="center" vertical="center"/>
      <protection hidden="1"/>
    </xf>
    <xf numFmtId="0" fontId="0" fillId="12" borderId="30" xfId="0" applyFill="1" applyBorder="1" applyAlignment="1" applyProtection="1">
      <alignment horizontal="center" vertical="center" wrapText="1"/>
      <protection hidden="1"/>
    </xf>
    <xf numFmtId="0" fontId="0" fillId="12" borderId="22" xfId="0" applyFill="1" applyBorder="1" applyAlignment="1" applyProtection="1">
      <alignment horizontal="center" vertical="center" wrapText="1"/>
      <protection hidden="1"/>
    </xf>
    <xf numFmtId="0" fontId="0" fillId="12" borderId="27" xfId="0" applyFill="1" applyBorder="1" applyAlignment="1" applyProtection="1">
      <alignment horizontal="center" vertical="center" wrapText="1"/>
      <protection hidden="1"/>
    </xf>
  </cellXfs>
  <cellStyles count="7">
    <cellStyle name="Comma" xfId="1" builtinId="3"/>
    <cellStyle name="Currency" xfId="2" builtinId="4"/>
    <cellStyle name="Normal" xfId="0" builtinId="0"/>
    <cellStyle name="Normal 10 2" xfId="4" xr:uid="{00000000-0005-0000-0000-000003000000}"/>
    <cellStyle name="Normal 2" xfId="6" xr:uid="{00000000-0005-0000-0000-000004000000}"/>
    <cellStyle name="Normal_Lookup Sheet" xfId="5" xr:uid="{00000000-0005-0000-0000-000005000000}"/>
    <cellStyle name="Percent" xfId="3" builtinId="5"/>
  </cellStyles>
  <dxfs count="1">
    <dxf>
      <fill>
        <patternFill>
          <bgColor theme="7"/>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AM38"/>
  <sheetViews>
    <sheetView tabSelected="1" topLeftCell="G12" zoomScaleNormal="100" zoomScaleSheetLayoutView="90" workbookViewId="0">
      <selection activeCell="K30" sqref="K30"/>
    </sheetView>
  </sheetViews>
  <sheetFormatPr defaultColWidth="9.36328125" defaultRowHeight="14.5" x14ac:dyDescent="0.35"/>
  <cols>
    <col min="1" max="1" width="4.36328125" customWidth="1"/>
    <col min="2" max="2" width="34.81640625" customWidth="1"/>
    <col min="3" max="3" width="66" customWidth="1"/>
    <col min="4" max="13" width="13.54296875" customWidth="1"/>
    <col min="14" max="16" width="14.54296875" style="2" customWidth="1"/>
    <col min="17" max="17" width="14.54296875" style="3" customWidth="1"/>
    <col min="18" max="18" width="14.54296875" customWidth="1"/>
    <col min="19" max="19" width="15.1796875" customWidth="1"/>
    <col min="20" max="20" width="16.36328125" style="4" customWidth="1"/>
    <col min="21" max="22" width="16.36328125" customWidth="1"/>
    <col min="23" max="24" width="15.54296875" style="2" customWidth="1"/>
    <col min="25" max="25" width="13.54296875" customWidth="1"/>
    <col min="29" max="29" width="9.36328125" customWidth="1"/>
  </cols>
  <sheetData>
    <row r="1" spans="1:24" ht="23.5" x14ac:dyDescent="0.55000000000000004">
      <c r="A1" s="1" t="s">
        <v>8</v>
      </c>
      <c r="T1" s="33"/>
      <c r="W1" s="32"/>
      <c r="X1" s="32"/>
    </row>
    <row r="2" spans="1:24" x14ac:dyDescent="0.35">
      <c r="T2" s="33"/>
      <c r="W2" s="32"/>
      <c r="X2" s="32"/>
    </row>
    <row r="3" spans="1:24" ht="19" thickBot="1" x14ac:dyDescent="0.5">
      <c r="A3" s="5"/>
      <c r="B3" s="5" t="s">
        <v>134</v>
      </c>
      <c r="C3" s="5"/>
      <c r="D3" s="5"/>
      <c r="E3" s="5"/>
      <c r="F3" s="5"/>
      <c r="G3" s="5"/>
      <c r="H3" s="5"/>
      <c r="I3" s="5"/>
      <c r="J3" s="5"/>
      <c r="K3" s="5"/>
      <c r="L3" s="5"/>
      <c r="M3" s="5"/>
      <c r="Q3" s="12"/>
      <c r="T3" s="42"/>
      <c r="W3" s="32"/>
      <c r="X3" s="32"/>
    </row>
    <row r="4" spans="1:24" ht="43.4" customHeight="1" thickBot="1" x14ac:dyDescent="0.4">
      <c r="A4" t="s">
        <v>9</v>
      </c>
      <c r="B4" s="53"/>
      <c r="C4" s="27"/>
      <c r="D4" s="285" t="s">
        <v>6</v>
      </c>
      <c r="E4" s="285"/>
      <c r="F4" s="285"/>
      <c r="G4" s="286"/>
      <c r="H4" s="287" t="s">
        <v>10</v>
      </c>
      <c r="I4" s="288"/>
      <c r="J4" s="288"/>
      <c r="K4" s="288"/>
      <c r="L4" s="290" t="s">
        <v>11</v>
      </c>
      <c r="M4" s="290"/>
      <c r="N4" s="290"/>
      <c r="O4" s="290"/>
      <c r="P4" s="290"/>
      <c r="Q4" s="290"/>
      <c r="R4" s="290"/>
      <c r="S4" s="290"/>
      <c r="T4" s="33"/>
      <c r="V4" s="40" t="s">
        <v>6</v>
      </c>
      <c r="W4" s="40"/>
      <c r="X4" s="40"/>
    </row>
    <row r="5" spans="1:24" ht="21" customHeight="1" x14ac:dyDescent="0.35">
      <c r="B5" s="53"/>
      <c r="C5" s="27"/>
      <c r="D5" s="143" t="s">
        <v>12</v>
      </c>
      <c r="E5" s="17" t="s">
        <v>13</v>
      </c>
      <c r="F5" s="17" t="s">
        <v>14</v>
      </c>
      <c r="G5" s="118" t="s">
        <v>15</v>
      </c>
      <c r="H5" s="23" t="s">
        <v>16</v>
      </c>
      <c r="I5" s="24" t="s">
        <v>17</v>
      </c>
      <c r="J5" s="24" t="s">
        <v>18</v>
      </c>
      <c r="K5" s="24" t="s">
        <v>19</v>
      </c>
      <c r="L5" s="21" t="s">
        <v>20</v>
      </c>
      <c r="M5" s="21" t="s">
        <v>21</v>
      </c>
      <c r="N5" s="6" t="s">
        <v>22</v>
      </c>
      <c r="O5" s="222" t="s">
        <v>23</v>
      </c>
      <c r="P5" s="6" t="s">
        <v>24</v>
      </c>
      <c r="Q5" s="17" t="s">
        <v>25</v>
      </c>
      <c r="R5" s="17" t="s">
        <v>26</v>
      </c>
      <c r="S5" s="7" t="s">
        <v>27</v>
      </c>
      <c r="T5" s="33"/>
      <c r="W5" s="32"/>
      <c r="X5" s="32"/>
    </row>
    <row r="6" spans="1:24" ht="52.5" customHeight="1" thickBot="1" x14ac:dyDescent="0.4">
      <c r="B6" s="52"/>
      <c r="C6" s="28"/>
      <c r="D6" s="144" t="s">
        <v>0</v>
      </c>
      <c r="E6" s="68" t="s">
        <v>28</v>
      </c>
      <c r="F6" s="68" t="s">
        <v>29</v>
      </c>
      <c r="G6" s="145" t="s">
        <v>30</v>
      </c>
      <c r="H6" s="25" t="s">
        <v>31</v>
      </c>
      <c r="I6" s="26" t="s">
        <v>32</v>
      </c>
      <c r="J6" s="26" t="s">
        <v>33</v>
      </c>
      <c r="K6" s="26" t="s">
        <v>34</v>
      </c>
      <c r="L6" s="22" t="s">
        <v>35</v>
      </c>
      <c r="M6" s="22" t="s">
        <v>36</v>
      </c>
      <c r="N6" s="15" t="s">
        <v>37</v>
      </c>
      <c r="O6" s="223" t="s">
        <v>38</v>
      </c>
      <c r="P6" s="15" t="s">
        <v>39</v>
      </c>
      <c r="Q6" s="8" t="s">
        <v>40</v>
      </c>
      <c r="R6" s="68" t="s">
        <v>41</v>
      </c>
      <c r="S6" s="114" t="s">
        <v>42</v>
      </c>
      <c r="T6" s="33"/>
      <c r="W6" s="32"/>
      <c r="X6" s="32"/>
    </row>
    <row r="7" spans="1:24" ht="15" thickBot="1" x14ac:dyDescent="0.4">
      <c r="B7" s="44" t="s">
        <v>43</v>
      </c>
      <c r="C7" s="44" t="s">
        <v>44</v>
      </c>
      <c r="D7" s="44"/>
      <c r="E7" s="31"/>
      <c r="F7" s="31"/>
      <c r="G7" s="146"/>
      <c r="H7" s="117"/>
      <c r="I7" s="31"/>
      <c r="J7" s="43"/>
      <c r="K7" s="45"/>
      <c r="L7" s="30"/>
      <c r="M7" s="31"/>
      <c r="N7" s="31"/>
      <c r="O7" s="224"/>
      <c r="P7" s="225"/>
      <c r="Q7" s="226"/>
      <c r="R7" s="227"/>
      <c r="S7" s="228"/>
      <c r="T7" s="36"/>
      <c r="U7" s="35"/>
      <c r="V7" s="35"/>
      <c r="W7" s="35"/>
      <c r="X7" s="35"/>
    </row>
    <row r="8" spans="1:24" s="54" customFormat="1" x14ac:dyDescent="0.35">
      <c r="B8" s="291" t="s">
        <v>45</v>
      </c>
      <c r="C8" s="229" t="s">
        <v>46</v>
      </c>
      <c r="D8" s="255">
        <v>390</v>
      </c>
      <c r="E8" s="147">
        <v>2505</v>
      </c>
      <c r="F8" s="256">
        <v>7904</v>
      </c>
      <c r="G8" s="148">
        <f>F8/E8</f>
        <v>3.1552894211576845</v>
      </c>
      <c r="H8" s="264">
        <v>89.430999999999997</v>
      </c>
      <c r="I8" s="299">
        <v>1293.4469999999999</v>
      </c>
      <c r="J8" s="265">
        <v>778.46</v>
      </c>
      <c r="K8" s="295">
        <f>(J8+J9)/I8</f>
        <v>0.62628464869453493</v>
      </c>
      <c r="L8" s="255">
        <v>46.783999999999999</v>
      </c>
      <c r="M8" s="293">
        <v>5392</v>
      </c>
      <c r="N8" s="256">
        <v>2192.3130000000001</v>
      </c>
      <c r="O8" s="295">
        <f>(N8+N9)/M8</f>
        <v>0.91029543768545995</v>
      </c>
      <c r="P8" s="231">
        <f>N8*1.0345</f>
        <v>2267.9477984999999</v>
      </c>
      <c r="Q8" s="272">
        <v>0.17899999999999999</v>
      </c>
      <c r="R8" s="266">
        <v>524.52800000000002</v>
      </c>
      <c r="S8" s="267">
        <v>31770.067999999999</v>
      </c>
      <c r="T8" s="56"/>
      <c r="U8" s="123"/>
      <c r="V8" s="55"/>
      <c r="W8" s="55"/>
      <c r="X8" s="55"/>
    </row>
    <row r="9" spans="1:24" s="54" customFormat="1" x14ac:dyDescent="0.35">
      <c r="B9" s="292"/>
      <c r="C9" s="131" t="s">
        <v>47</v>
      </c>
      <c r="D9" s="248">
        <v>33721</v>
      </c>
      <c r="E9" s="257" t="s">
        <v>5</v>
      </c>
      <c r="F9" s="258">
        <f>D9</f>
        <v>33721</v>
      </c>
      <c r="G9" s="149" t="s">
        <v>5</v>
      </c>
      <c r="H9" s="263">
        <v>0.25</v>
      </c>
      <c r="I9" s="300"/>
      <c r="J9" s="262">
        <v>31.606000000000002</v>
      </c>
      <c r="K9" s="296"/>
      <c r="L9" s="248">
        <v>1023</v>
      </c>
      <c r="M9" s="294"/>
      <c r="N9" s="266">
        <v>2716</v>
      </c>
      <c r="O9" s="296"/>
      <c r="P9" s="231">
        <f>N9*1.0345</f>
        <v>2809.7019999999998</v>
      </c>
      <c r="Q9" s="272">
        <v>0</v>
      </c>
      <c r="R9" s="266">
        <f>L9</f>
        <v>1023</v>
      </c>
      <c r="S9" s="267">
        <f>N9</f>
        <v>2716</v>
      </c>
      <c r="T9" s="56"/>
      <c r="U9" s="123"/>
      <c r="V9" s="55"/>
      <c r="W9" s="55"/>
      <c r="X9" s="55"/>
    </row>
    <row r="10" spans="1:24" ht="14.9" customHeight="1" x14ac:dyDescent="0.35">
      <c r="B10" s="289" t="s">
        <v>48</v>
      </c>
      <c r="C10" s="128" t="s">
        <v>49</v>
      </c>
      <c r="D10" s="249">
        <v>21</v>
      </c>
      <c r="E10" s="259">
        <v>954</v>
      </c>
      <c r="F10" s="258">
        <v>33</v>
      </c>
      <c r="G10" s="150">
        <f>F10/E10</f>
        <v>3.4591194968553458E-2</v>
      </c>
      <c r="H10" s="260">
        <v>43.579000000000001</v>
      </c>
      <c r="I10" s="261">
        <v>687.755</v>
      </c>
      <c r="J10" s="262">
        <v>231.226</v>
      </c>
      <c r="K10" s="150">
        <f>J10/I10</f>
        <v>0.33620402614303058</v>
      </c>
      <c r="L10" s="268">
        <v>26.192</v>
      </c>
      <c r="M10" s="133">
        <v>951</v>
      </c>
      <c r="N10" s="266">
        <v>88.129000000000005</v>
      </c>
      <c r="O10" s="150">
        <f>N10/M10</f>
        <v>9.2669821240799158E-2</v>
      </c>
      <c r="P10" s="231">
        <f t="shared" ref="P10:P11" si="0">N10*1.0345</f>
        <v>91.169450499999996</v>
      </c>
      <c r="Q10" s="273">
        <v>4.0000000000000001E-3</v>
      </c>
      <c r="R10" s="269">
        <v>398.15899999999999</v>
      </c>
      <c r="S10" s="267">
        <v>1126.133</v>
      </c>
      <c r="T10" s="41"/>
      <c r="U10" s="123"/>
      <c r="V10" s="32"/>
      <c r="W10" s="32"/>
      <c r="X10" s="32"/>
    </row>
    <row r="11" spans="1:24" ht="14.9" customHeight="1" x14ac:dyDescent="0.35">
      <c r="B11" s="289"/>
      <c r="C11" s="128" t="s">
        <v>50</v>
      </c>
      <c r="D11" s="249">
        <v>0</v>
      </c>
      <c r="E11" s="259">
        <v>75</v>
      </c>
      <c r="F11" s="258">
        <v>3504</v>
      </c>
      <c r="G11" s="153">
        <f>F11/E11</f>
        <v>46.72</v>
      </c>
      <c r="H11" s="260">
        <v>6.5949999999999998</v>
      </c>
      <c r="I11" s="261">
        <v>336.97300000000001</v>
      </c>
      <c r="J11" s="262">
        <v>56.716000000000001</v>
      </c>
      <c r="K11" s="150">
        <f>J11/I11</f>
        <v>0.16831022070017479</v>
      </c>
      <c r="L11" s="268">
        <v>0</v>
      </c>
      <c r="M11" s="133">
        <v>127</v>
      </c>
      <c r="N11" s="266">
        <v>575.69399999999996</v>
      </c>
      <c r="O11" s="150">
        <f>N11/M11</f>
        <v>4.533023622047244</v>
      </c>
      <c r="P11" s="231">
        <f t="shared" si="0"/>
        <v>595.55544299999997</v>
      </c>
      <c r="Q11" s="273">
        <v>4.2999999999999997E-2</v>
      </c>
      <c r="R11" s="269">
        <v>0</v>
      </c>
      <c r="S11" s="267">
        <v>8635.4120000000003</v>
      </c>
      <c r="T11" s="41"/>
      <c r="U11" s="123"/>
      <c r="V11" s="32"/>
      <c r="W11" s="32"/>
      <c r="X11" s="32"/>
    </row>
    <row r="12" spans="1:24" x14ac:dyDescent="0.35">
      <c r="B12" s="10" t="s">
        <v>51</v>
      </c>
      <c r="C12" s="116"/>
      <c r="D12" s="154">
        <f>SUM(D8:D11)</f>
        <v>34132</v>
      </c>
      <c r="E12" s="155">
        <f>SUM(E8:E11)</f>
        <v>3534</v>
      </c>
      <c r="F12" s="155">
        <f t="shared" ref="F12:S12" si="1">SUM(F8:F11)</f>
        <v>45162</v>
      </c>
      <c r="G12" s="156">
        <f>F12/E12</f>
        <v>12.779286926994907</v>
      </c>
      <c r="H12" s="157">
        <f t="shared" si="1"/>
        <v>139.85499999999999</v>
      </c>
      <c r="I12" s="158">
        <f t="shared" si="1"/>
        <v>2318.1749999999997</v>
      </c>
      <c r="J12" s="159">
        <f>SUM(J8:J11)</f>
        <v>1098.0079999999998</v>
      </c>
      <c r="K12" s="156">
        <f>J12/I12</f>
        <v>0.47365190289775361</v>
      </c>
      <c r="L12" s="154">
        <f t="shared" si="1"/>
        <v>1095.9760000000001</v>
      </c>
      <c r="M12" s="155">
        <f t="shared" si="1"/>
        <v>6470</v>
      </c>
      <c r="N12" s="155">
        <f>SUM(N8:N11)</f>
        <v>5572.1360000000004</v>
      </c>
      <c r="O12" s="156">
        <f>N12/M12</f>
        <v>0.86122658423493048</v>
      </c>
      <c r="P12" s="232">
        <f t="shared" si="1"/>
        <v>5764.3746919999994</v>
      </c>
      <c r="Q12" s="274">
        <f t="shared" si="1"/>
        <v>0.22599999999999998</v>
      </c>
      <c r="R12" s="155">
        <f t="shared" si="1"/>
        <v>1945.6869999999999</v>
      </c>
      <c r="S12" s="155">
        <f t="shared" si="1"/>
        <v>44247.612999999998</v>
      </c>
      <c r="T12" s="36"/>
      <c r="U12" s="124"/>
      <c r="V12" s="35"/>
      <c r="W12" s="35"/>
      <c r="X12" s="35"/>
    </row>
    <row r="13" spans="1:24" x14ac:dyDescent="0.35">
      <c r="B13" s="66"/>
      <c r="C13" s="115"/>
      <c r="D13" s="160"/>
      <c r="E13" s="161"/>
      <c r="F13" s="161"/>
      <c r="G13" s="162"/>
      <c r="H13" s="163"/>
      <c r="I13" s="164"/>
      <c r="J13" s="164"/>
      <c r="K13" s="162"/>
      <c r="L13" s="245"/>
      <c r="M13" s="161"/>
      <c r="N13" s="161"/>
      <c r="O13" s="162"/>
      <c r="P13" s="233"/>
      <c r="Q13" s="275"/>
      <c r="R13" s="165"/>
      <c r="S13" s="166"/>
      <c r="T13" s="38"/>
      <c r="U13" s="125"/>
      <c r="V13" s="38"/>
      <c r="W13" s="38"/>
      <c r="X13" s="38"/>
    </row>
    <row r="14" spans="1:24" x14ac:dyDescent="0.35">
      <c r="B14" s="10" t="s">
        <v>52</v>
      </c>
      <c r="C14" s="116" t="s">
        <v>53</v>
      </c>
      <c r="D14" s="167"/>
      <c r="E14" s="168"/>
      <c r="F14" s="168"/>
      <c r="G14" s="169"/>
      <c r="H14" s="170"/>
      <c r="I14" s="159"/>
      <c r="J14" s="159"/>
      <c r="K14" s="169"/>
      <c r="L14" s="154"/>
      <c r="M14" s="168"/>
      <c r="N14" s="171"/>
      <c r="O14" s="185"/>
      <c r="P14" s="234"/>
      <c r="Q14" s="276"/>
      <c r="R14" s="172"/>
      <c r="S14" s="173"/>
      <c r="T14" s="36"/>
      <c r="U14" s="124"/>
      <c r="V14" s="35"/>
      <c r="W14" s="35"/>
      <c r="X14" s="35"/>
    </row>
    <row r="15" spans="1:24" x14ac:dyDescent="0.35">
      <c r="B15" s="83" t="s">
        <v>54</v>
      </c>
      <c r="C15" s="128" t="s">
        <v>55</v>
      </c>
      <c r="D15" s="250">
        <v>10</v>
      </c>
      <c r="E15" s="259">
        <v>135</v>
      </c>
      <c r="F15" s="258">
        <v>28</v>
      </c>
      <c r="G15" s="150">
        <f>F15/E15</f>
        <v>0.2074074074074074</v>
      </c>
      <c r="H15" s="260">
        <v>482.13200000000001</v>
      </c>
      <c r="I15" s="261">
        <v>1686.6849999999999</v>
      </c>
      <c r="J15" s="262">
        <v>1392.3130000000001</v>
      </c>
      <c r="K15" s="150">
        <f>J15/I15</f>
        <v>0.82547304327719762</v>
      </c>
      <c r="L15" s="249">
        <v>181.816</v>
      </c>
      <c r="M15" s="133">
        <v>3021</v>
      </c>
      <c r="N15" s="266">
        <v>1045.3489999999999</v>
      </c>
      <c r="O15" s="150">
        <f>N15/M15</f>
        <v>0.34602747434624292</v>
      </c>
      <c r="P15" s="231">
        <f>N15*1.0345</f>
        <v>1081.4135405</v>
      </c>
      <c r="Q15" s="273">
        <v>0.20399999999999999</v>
      </c>
      <c r="R15" s="269">
        <v>2672.6950000000002</v>
      </c>
      <c r="S15" s="267">
        <v>15508.272999999999</v>
      </c>
      <c r="T15" s="33"/>
      <c r="U15" s="123"/>
      <c r="V15" s="34"/>
      <c r="W15" s="32"/>
      <c r="X15" s="32"/>
    </row>
    <row r="16" spans="1:24" ht="29" x14ac:dyDescent="0.35">
      <c r="B16" s="83" t="s">
        <v>56</v>
      </c>
      <c r="C16" s="128" t="s">
        <v>57</v>
      </c>
      <c r="D16" s="250">
        <v>14</v>
      </c>
      <c r="E16" s="69">
        <v>280</v>
      </c>
      <c r="F16" s="258">
        <v>40</v>
      </c>
      <c r="G16" s="153">
        <f>F16/E16</f>
        <v>0.14285714285714285</v>
      </c>
      <c r="H16" s="260">
        <v>130.702</v>
      </c>
      <c r="I16" s="151">
        <v>1548.271</v>
      </c>
      <c r="J16" s="262">
        <v>687.46100000000001</v>
      </c>
      <c r="K16" s="150">
        <f>J16/I16</f>
        <v>0.44401852130537872</v>
      </c>
      <c r="L16" s="249">
        <v>994.35900000000004</v>
      </c>
      <c r="M16" s="175">
        <v>5286</v>
      </c>
      <c r="N16" s="266">
        <v>2771.1350000000002</v>
      </c>
      <c r="O16" s="150">
        <f>N16/M16</f>
        <v>0.52424044646235346</v>
      </c>
      <c r="P16" s="231">
        <f>N16*1.0345</f>
        <v>2866.7391575000001</v>
      </c>
      <c r="Q16" s="273">
        <v>0.57199999999999995</v>
      </c>
      <c r="R16" s="269">
        <v>15626.434999999999</v>
      </c>
      <c r="S16" s="267">
        <v>39685.654000000002</v>
      </c>
      <c r="T16" s="41"/>
      <c r="U16" s="123"/>
      <c r="V16" s="34"/>
      <c r="W16" s="32"/>
      <c r="X16" s="32"/>
    </row>
    <row r="17" spans="2:39" s="12" customFormat="1" x14ac:dyDescent="0.35">
      <c r="B17" s="10" t="s">
        <v>58</v>
      </c>
      <c r="C17" s="116"/>
      <c r="D17" s="167">
        <f>SUM(D15:D16)</f>
        <v>24</v>
      </c>
      <c r="E17" s="168">
        <f t="shared" ref="E17:Q17" si="2">SUM(E15:E16)</f>
        <v>415</v>
      </c>
      <c r="F17" s="168">
        <f t="shared" si="2"/>
        <v>68</v>
      </c>
      <c r="G17" s="156">
        <f>F17/E17</f>
        <v>0.16385542168674699</v>
      </c>
      <c r="H17" s="157">
        <f t="shared" si="2"/>
        <v>612.83400000000006</v>
      </c>
      <c r="I17" s="158">
        <f t="shared" si="2"/>
        <v>3234.9560000000001</v>
      </c>
      <c r="J17" s="159">
        <f>SUM(J15:J16)</f>
        <v>2079.7740000000003</v>
      </c>
      <c r="K17" s="156">
        <f>J17/I17</f>
        <v>0.64290642592975</v>
      </c>
      <c r="L17" s="154">
        <f t="shared" si="2"/>
        <v>1176.175</v>
      </c>
      <c r="M17" s="155">
        <f t="shared" si="2"/>
        <v>8307</v>
      </c>
      <c r="N17" s="155">
        <f>SUM(N15:N16)</f>
        <v>3816.4840000000004</v>
      </c>
      <c r="O17" s="156">
        <f>N17/M17</f>
        <v>0.45942987841579397</v>
      </c>
      <c r="P17" s="232">
        <f t="shared" si="2"/>
        <v>3948.1526979999999</v>
      </c>
      <c r="Q17" s="274">
        <f t="shared" si="2"/>
        <v>0.77599999999999991</v>
      </c>
      <c r="R17" s="155">
        <f>SUM(R15:R16)</f>
        <v>18299.13</v>
      </c>
      <c r="S17" s="155">
        <f>SUM(S15:S16)</f>
        <v>55193.927000000003</v>
      </c>
      <c r="T17" s="36"/>
      <c r="U17" s="124"/>
      <c r="V17" s="35"/>
      <c r="W17" s="35"/>
      <c r="X17" s="35"/>
      <c r="Y17"/>
      <c r="Z17"/>
      <c r="AA17"/>
      <c r="AB17"/>
      <c r="AC17"/>
      <c r="AD17"/>
      <c r="AE17"/>
      <c r="AF17"/>
      <c r="AG17"/>
      <c r="AH17"/>
      <c r="AI17"/>
      <c r="AJ17"/>
      <c r="AK17"/>
      <c r="AL17"/>
      <c r="AM17"/>
    </row>
    <row r="18" spans="2:39" x14ac:dyDescent="0.35">
      <c r="B18" s="66"/>
      <c r="C18" s="115"/>
      <c r="D18" s="160"/>
      <c r="E18" s="161"/>
      <c r="F18" s="161"/>
      <c r="G18" s="162"/>
      <c r="H18" s="163"/>
      <c r="I18" s="164"/>
      <c r="J18" s="164"/>
      <c r="K18" s="162"/>
      <c r="L18" s="245"/>
      <c r="M18" s="161"/>
      <c r="N18" s="161"/>
      <c r="O18" s="162"/>
      <c r="P18" s="233"/>
      <c r="Q18" s="275"/>
      <c r="R18" s="165"/>
      <c r="S18" s="166"/>
      <c r="T18" s="38"/>
      <c r="U18" s="125"/>
      <c r="V18" s="38"/>
      <c r="W18" s="38"/>
      <c r="X18" s="38"/>
    </row>
    <row r="19" spans="2:39" x14ac:dyDescent="0.35">
      <c r="B19" s="67" t="s">
        <v>59</v>
      </c>
      <c r="C19" s="139" t="s">
        <v>55</v>
      </c>
      <c r="D19" s="250">
        <v>22</v>
      </c>
      <c r="E19" s="259">
        <v>37</v>
      </c>
      <c r="F19" s="270">
        <f>D19</f>
        <v>22</v>
      </c>
      <c r="G19" s="153">
        <f>F19/E19</f>
        <v>0.59459459459459463</v>
      </c>
      <c r="H19" s="271">
        <v>13.009</v>
      </c>
      <c r="I19" s="261">
        <v>503.63299999999998</v>
      </c>
      <c r="J19" s="262">
        <v>114.917</v>
      </c>
      <c r="K19" s="150">
        <f>J19/I19</f>
        <v>0.22817607265608092</v>
      </c>
      <c r="L19" s="249">
        <v>14.983000000000001</v>
      </c>
      <c r="M19" s="259">
        <v>453</v>
      </c>
      <c r="N19" s="266">
        <f t="shared" ref="N19" si="3">L19</f>
        <v>14.983000000000001</v>
      </c>
      <c r="O19" s="150">
        <f>N19/M19</f>
        <v>3.3075055187637974E-2</v>
      </c>
      <c r="P19" s="231">
        <f>N19*1.0345</f>
        <v>15.4999135</v>
      </c>
      <c r="Q19" s="273">
        <v>1E-3</v>
      </c>
      <c r="R19" s="269">
        <v>199.274</v>
      </c>
      <c r="S19" s="267">
        <f t="shared" ref="S19" si="4">R19</f>
        <v>199.274</v>
      </c>
      <c r="T19" s="38"/>
      <c r="U19" s="123"/>
      <c r="V19" s="38"/>
      <c r="W19" s="38"/>
      <c r="X19" s="38"/>
    </row>
    <row r="20" spans="2:39" x14ac:dyDescent="0.35">
      <c r="B20" s="10" t="s">
        <v>60</v>
      </c>
      <c r="C20" s="116" t="s">
        <v>44</v>
      </c>
      <c r="D20" s="167"/>
      <c r="E20" s="168"/>
      <c r="F20" s="168"/>
      <c r="G20" s="169"/>
      <c r="H20" s="170"/>
      <c r="I20" s="176"/>
      <c r="J20" s="159"/>
      <c r="K20" s="230"/>
      <c r="L20" s="154"/>
      <c r="M20" s="168"/>
      <c r="N20" s="168"/>
      <c r="O20" s="169"/>
      <c r="P20" s="232"/>
      <c r="Q20" s="274"/>
      <c r="R20" s="172"/>
      <c r="S20" s="173"/>
      <c r="T20" s="36"/>
      <c r="U20" s="124"/>
      <c r="V20" s="35"/>
      <c r="W20" s="35"/>
      <c r="X20" s="35"/>
    </row>
    <row r="21" spans="2:39" x14ac:dyDescent="0.35">
      <c r="B21" s="297" t="s">
        <v>4</v>
      </c>
      <c r="C21" s="129" t="s">
        <v>61</v>
      </c>
      <c r="D21" s="251">
        <v>28</v>
      </c>
      <c r="E21" s="175">
        <v>1260</v>
      </c>
      <c r="F21" s="258">
        <v>1958</v>
      </c>
      <c r="G21" s="153">
        <f>F21/E21</f>
        <v>1.553968253968254</v>
      </c>
      <c r="H21" s="282">
        <v>38.433999999999997</v>
      </c>
      <c r="I21" s="301">
        <v>417.334</v>
      </c>
      <c r="J21" s="262">
        <v>275.25599999999997</v>
      </c>
      <c r="K21" s="302">
        <f>(J21+J22)/I21</f>
        <v>0.68525689256087452</v>
      </c>
      <c r="L21" s="246"/>
      <c r="M21" s="177"/>
      <c r="N21" s="177"/>
      <c r="O21" s="238"/>
      <c r="P21" s="235"/>
      <c r="Q21" s="273">
        <v>3.31</v>
      </c>
      <c r="R21" s="247"/>
      <c r="S21" s="178"/>
      <c r="T21" s="33"/>
      <c r="U21" s="126"/>
      <c r="V21" s="34"/>
      <c r="W21" s="32"/>
      <c r="X21" s="32"/>
    </row>
    <row r="22" spans="2:39" x14ac:dyDescent="0.35">
      <c r="B22" s="298"/>
      <c r="C22" s="129" t="s">
        <v>62</v>
      </c>
      <c r="D22" s="251">
        <v>0</v>
      </c>
      <c r="E22" s="279" t="s">
        <v>5</v>
      </c>
      <c r="F22" s="258">
        <f>D22+1725</f>
        <v>1725</v>
      </c>
      <c r="G22" s="153" t="s">
        <v>5</v>
      </c>
      <c r="H22" s="282">
        <v>0</v>
      </c>
      <c r="I22" s="300"/>
      <c r="J22" s="262">
        <v>10.725</v>
      </c>
      <c r="K22" s="296"/>
      <c r="L22" s="246"/>
      <c r="M22" s="177"/>
      <c r="N22" s="177"/>
      <c r="O22" s="238"/>
      <c r="P22" s="235"/>
      <c r="Q22" s="273">
        <v>0</v>
      </c>
      <c r="R22" s="247"/>
      <c r="S22" s="178"/>
      <c r="T22" s="33"/>
      <c r="U22" s="126"/>
      <c r="V22" s="34"/>
      <c r="W22" s="32"/>
      <c r="X22" s="32"/>
    </row>
    <row r="23" spans="2:39" s="54" customFormat="1" x14ac:dyDescent="0.35">
      <c r="B23" s="9" t="s">
        <v>63</v>
      </c>
      <c r="C23" s="140" t="s">
        <v>55</v>
      </c>
      <c r="D23" s="251">
        <v>4</v>
      </c>
      <c r="E23" s="280">
        <v>179</v>
      </c>
      <c r="F23" s="258">
        <v>10</v>
      </c>
      <c r="G23" s="153">
        <f>F23/E23</f>
        <v>5.5865921787709494E-2</v>
      </c>
      <c r="H23" s="282">
        <v>21.661000000000001</v>
      </c>
      <c r="I23" s="180">
        <v>747.14499999999998</v>
      </c>
      <c r="J23" s="262">
        <v>180.63200000000001</v>
      </c>
      <c r="K23" s="150">
        <f>J23/I23</f>
        <v>0.24176297773524552</v>
      </c>
      <c r="L23" s="268">
        <f>115.901/3.412</f>
        <v>33.968640093786632</v>
      </c>
      <c r="M23" s="283">
        <f>4363/3.412</f>
        <v>1278.7221570926142</v>
      </c>
      <c r="N23" s="266">
        <f>401.175/3.412</f>
        <v>117.57766705744432</v>
      </c>
      <c r="O23" s="150">
        <f>N23/M23</f>
        <v>9.1949346779738719E-2</v>
      </c>
      <c r="P23" s="231">
        <f>N23*1.0345</f>
        <v>121.63409657092615</v>
      </c>
      <c r="Q23" s="273">
        <v>1E-3</v>
      </c>
      <c r="R23" s="269">
        <f>1703.6/3.412</f>
        <v>499.29660023446655</v>
      </c>
      <c r="S23" s="267">
        <f>6120.8/3.412</f>
        <v>1793.9038686987105</v>
      </c>
      <c r="T23" s="58"/>
      <c r="U23" s="123"/>
      <c r="V23" s="57"/>
      <c r="W23" s="59"/>
      <c r="X23" s="59"/>
    </row>
    <row r="24" spans="2:39" x14ac:dyDescent="0.35">
      <c r="B24" s="10" t="s">
        <v>64</v>
      </c>
      <c r="C24" s="116"/>
      <c r="D24" s="167">
        <f>SUM(D21:D23)</f>
        <v>32</v>
      </c>
      <c r="E24" s="155">
        <f t="shared" ref="E24:R24" si="5">SUM(E21:E23)</f>
        <v>1439</v>
      </c>
      <c r="F24" s="155">
        <f t="shared" si="5"/>
        <v>3693</v>
      </c>
      <c r="G24" s="156">
        <f>F24/E24</f>
        <v>2.56636553161918</v>
      </c>
      <c r="H24" s="157">
        <f t="shared" si="5"/>
        <v>60.094999999999999</v>
      </c>
      <c r="I24" s="158">
        <f t="shared" si="5"/>
        <v>1164.479</v>
      </c>
      <c r="J24" s="159">
        <f>SUM(J21:J23)</f>
        <v>466.613</v>
      </c>
      <c r="K24" s="156">
        <f>J24/I24</f>
        <v>0.40070537983080845</v>
      </c>
      <c r="L24" s="154">
        <f t="shared" si="5"/>
        <v>33.968640093786632</v>
      </c>
      <c r="M24" s="155">
        <f t="shared" si="5"/>
        <v>1278.7221570926142</v>
      </c>
      <c r="N24" s="155">
        <f t="shared" si="5"/>
        <v>117.57766705744432</v>
      </c>
      <c r="O24" s="156">
        <f>N24/M24</f>
        <v>9.1949346779738719E-2</v>
      </c>
      <c r="P24" s="232">
        <f t="shared" si="5"/>
        <v>121.63409657092615</v>
      </c>
      <c r="Q24" s="274">
        <f>SUM(Q21:Q23)</f>
        <v>3.3109999999999999</v>
      </c>
      <c r="R24" s="155">
        <f t="shared" si="5"/>
        <v>499.29660023446655</v>
      </c>
      <c r="S24" s="181">
        <f>SUM(S23)</f>
        <v>1793.9038686987105</v>
      </c>
      <c r="T24" s="36"/>
      <c r="U24" s="39"/>
      <c r="V24" s="39"/>
      <c r="W24" s="35"/>
      <c r="X24" s="35"/>
    </row>
    <row r="25" spans="2:39" x14ac:dyDescent="0.35">
      <c r="B25" s="66"/>
      <c r="C25" s="115"/>
      <c r="D25" s="160"/>
      <c r="E25" s="161"/>
      <c r="F25" s="161"/>
      <c r="G25" s="162"/>
      <c r="H25" s="163"/>
      <c r="I25" s="164"/>
      <c r="J25" s="164"/>
      <c r="K25" s="162"/>
      <c r="L25" s="245"/>
      <c r="M25" s="161"/>
      <c r="N25" s="161"/>
      <c r="O25" s="162"/>
      <c r="P25" s="233"/>
      <c r="Q25" s="275"/>
      <c r="R25" s="165"/>
      <c r="S25" s="166"/>
      <c r="T25" s="38"/>
      <c r="U25" s="38"/>
      <c r="V25" s="38"/>
      <c r="W25" s="38"/>
      <c r="X25" s="38"/>
    </row>
    <row r="26" spans="2:39" x14ac:dyDescent="0.35">
      <c r="B26" s="67" t="s">
        <v>65</v>
      </c>
      <c r="C26" s="139" t="s">
        <v>55</v>
      </c>
      <c r="D26" s="251">
        <v>5</v>
      </c>
      <c r="E26" s="279">
        <v>37</v>
      </c>
      <c r="F26" s="281">
        <v>14</v>
      </c>
      <c r="G26" s="153">
        <f>F26/E26</f>
        <v>0.3783783783783784</v>
      </c>
      <c r="H26" s="282">
        <v>79.947000000000003</v>
      </c>
      <c r="I26" s="241">
        <v>311.2</v>
      </c>
      <c r="J26" s="262">
        <v>206.34399999999999</v>
      </c>
      <c r="K26" s="150">
        <f>J26/I26</f>
        <v>0.66305912596401029</v>
      </c>
      <c r="L26" s="268">
        <v>9.56</v>
      </c>
      <c r="M26" s="284" t="s">
        <v>5</v>
      </c>
      <c r="N26" s="266">
        <v>24.2</v>
      </c>
      <c r="O26" s="239" t="s">
        <v>5</v>
      </c>
      <c r="P26" s="231">
        <f>N26*1.0345</f>
        <v>25.0349</v>
      </c>
      <c r="Q26" s="273">
        <v>3.0000000000000001E-3</v>
      </c>
      <c r="R26" s="269">
        <v>139.41499999999999</v>
      </c>
      <c r="S26" s="267">
        <v>351.303</v>
      </c>
      <c r="T26" s="38"/>
      <c r="U26" s="123"/>
      <c r="V26" s="38"/>
      <c r="W26" s="38"/>
      <c r="X26" s="38"/>
    </row>
    <row r="27" spans="2:39" x14ac:dyDescent="0.35">
      <c r="B27" s="10" t="s">
        <v>66</v>
      </c>
      <c r="C27" s="141"/>
      <c r="D27" s="182"/>
      <c r="E27" s="183"/>
      <c r="F27" s="183"/>
      <c r="G27" s="184"/>
      <c r="H27" s="242">
        <v>5.5339999999999998</v>
      </c>
      <c r="I27" s="243"/>
      <c r="J27" s="244">
        <v>8.0039999999999996</v>
      </c>
      <c r="K27" s="185"/>
      <c r="L27" s="182"/>
      <c r="M27" s="183"/>
      <c r="N27" s="183"/>
      <c r="O27" s="184"/>
      <c r="P27" s="236"/>
      <c r="Q27" s="277"/>
      <c r="R27" s="183"/>
      <c r="S27" s="186"/>
      <c r="T27" s="36"/>
      <c r="U27" s="35"/>
      <c r="V27" s="35"/>
      <c r="W27" s="35"/>
      <c r="X27" s="35"/>
    </row>
    <row r="28" spans="2:39" ht="15" thickBot="1" x14ac:dyDescent="0.4">
      <c r="B28" s="18" t="s">
        <v>67</v>
      </c>
      <c r="C28" s="142"/>
      <c r="D28" s="187">
        <f>+D12+D17+D19+D24+D26</f>
        <v>34215</v>
      </c>
      <c r="E28" s="188">
        <f>+E12+E17+E19+E24+E26</f>
        <v>5462</v>
      </c>
      <c r="F28" s="188">
        <f>+F12+F17+F19+F24+F26</f>
        <v>48959</v>
      </c>
      <c r="G28" s="189">
        <f>F28/E28</f>
        <v>8.9635664591724638</v>
      </c>
      <c r="H28" s="190">
        <f>+H12+H17+H19+H24+H27+H26</f>
        <v>911.27400000000011</v>
      </c>
      <c r="I28" s="254">
        <f>+I12+I17+I19+I24+I27+I26</f>
        <v>7532.4429999999993</v>
      </c>
      <c r="J28" s="254">
        <f>J12+J17+J19+J24+J27+J26</f>
        <v>3973.66</v>
      </c>
      <c r="K28" s="191">
        <f>J28/I28</f>
        <v>0.52753933883070869</v>
      </c>
      <c r="L28" s="187">
        <f>+L12+L17+L19+L26+L24</f>
        <v>2330.6626400937866</v>
      </c>
      <c r="M28" s="188">
        <f>+M12+M17+M19+M24</f>
        <v>16508.722157092616</v>
      </c>
      <c r="N28" s="188">
        <f>+N12+N17+N19+N24+N26</f>
        <v>9545.3806670574468</v>
      </c>
      <c r="O28" s="240">
        <f>N28/M28</f>
        <v>0.5782022724851833</v>
      </c>
      <c r="P28" s="237">
        <f>+P12+P17+P19+P24+P26</f>
        <v>9874.6963000709256</v>
      </c>
      <c r="Q28" s="278">
        <f>+Q12+Q17+Q19+Q24+Q26</f>
        <v>4.3170000000000002</v>
      </c>
      <c r="R28" s="192">
        <f>+R12+R17+R19+R24+R26</f>
        <v>21082.80260023447</v>
      </c>
      <c r="S28" s="192">
        <f>+S12+S17+S19+S24+S26</f>
        <v>101786.02086869872</v>
      </c>
      <c r="T28" s="36"/>
      <c r="U28" s="35"/>
      <c r="V28" s="35"/>
      <c r="W28" s="35"/>
      <c r="X28" s="35"/>
    </row>
    <row r="29" spans="2:39" ht="16.5" x14ac:dyDescent="0.35">
      <c r="B29" s="20" t="s">
        <v>68</v>
      </c>
      <c r="C29" s="12"/>
      <c r="D29" s="12"/>
      <c r="E29" s="12"/>
      <c r="F29" s="12"/>
      <c r="G29" s="12"/>
      <c r="H29" s="12"/>
      <c r="I29" s="12"/>
      <c r="J29" s="12"/>
      <c r="K29" s="12"/>
      <c r="L29" s="12"/>
      <c r="M29" s="12"/>
      <c r="N29" s="12"/>
      <c r="O29" s="12"/>
      <c r="P29" s="12"/>
      <c r="Q29" s="12"/>
      <c r="R29" s="12"/>
      <c r="S29" s="12"/>
      <c r="T29" s="13"/>
      <c r="U29" s="12"/>
      <c r="V29" s="12"/>
      <c r="W29" s="14"/>
      <c r="X29" s="14"/>
      <c r="Y29" s="12"/>
      <c r="Z29" s="12"/>
      <c r="AA29" s="12"/>
      <c r="AB29" s="12"/>
      <c r="AC29" s="12"/>
      <c r="AD29" s="12"/>
      <c r="AE29" s="12"/>
      <c r="AF29" s="12"/>
      <c r="AG29" s="12"/>
      <c r="AH29" s="12"/>
      <c r="AI29" s="12"/>
      <c r="AJ29" s="12"/>
      <c r="AK29" s="12"/>
      <c r="AL29" s="12"/>
      <c r="AM29" s="12"/>
    </row>
    <row r="30" spans="2:39" ht="16" x14ac:dyDescent="0.35">
      <c r="B30" s="121" t="s">
        <v>69</v>
      </c>
      <c r="C30" s="12"/>
      <c r="D30" s="12"/>
      <c r="E30" s="12"/>
      <c r="F30" s="12"/>
      <c r="G30" s="12"/>
      <c r="H30" s="12"/>
      <c r="I30" s="12"/>
      <c r="J30" s="12"/>
      <c r="K30" s="12"/>
      <c r="L30" s="136"/>
      <c r="M30" s="12"/>
      <c r="N30" s="12"/>
      <c r="O30" s="12"/>
      <c r="P30" s="12"/>
      <c r="Q30" s="12"/>
      <c r="R30" s="12"/>
      <c r="S30" s="12"/>
      <c r="T30" s="13"/>
      <c r="U30" s="12"/>
      <c r="V30" s="12"/>
      <c r="W30" s="14"/>
      <c r="X30" s="14"/>
      <c r="Y30" s="12"/>
      <c r="Z30" s="12"/>
      <c r="AA30" s="12"/>
      <c r="AB30" s="12"/>
      <c r="AC30" s="12"/>
      <c r="AD30" s="12"/>
      <c r="AE30" s="12"/>
      <c r="AF30" s="12"/>
      <c r="AG30" s="12"/>
      <c r="AH30" s="12"/>
      <c r="AI30" s="12"/>
      <c r="AJ30" s="12"/>
      <c r="AK30" s="12"/>
      <c r="AL30" s="12"/>
      <c r="AM30" s="12"/>
    </row>
    <row r="31" spans="2:39" x14ac:dyDescent="0.35">
      <c r="B31" t="s">
        <v>70</v>
      </c>
      <c r="J31" s="221"/>
      <c r="K31" s="221"/>
    </row>
    <row r="32" spans="2:39" x14ac:dyDescent="0.35">
      <c r="B32" t="s">
        <v>71</v>
      </c>
      <c r="K32" s="221"/>
      <c r="N32" s="3"/>
    </row>
    <row r="33" spans="2:14" x14ac:dyDescent="0.35">
      <c r="B33" t="s">
        <v>72</v>
      </c>
      <c r="N33" s="3"/>
    </row>
    <row r="34" spans="2:14" x14ac:dyDescent="0.35">
      <c r="B34" t="s">
        <v>73</v>
      </c>
      <c r="H34" s="122"/>
      <c r="J34" s="122"/>
      <c r="K34" s="221"/>
      <c r="L34" s="127"/>
    </row>
    <row r="35" spans="2:14" x14ac:dyDescent="0.35">
      <c r="H35" s="122"/>
      <c r="I35" s="122"/>
      <c r="J35" s="122"/>
    </row>
    <row r="36" spans="2:14" x14ac:dyDescent="0.35">
      <c r="J36" s="122"/>
      <c r="K36" s="63"/>
      <c r="L36" s="253"/>
    </row>
    <row r="38" spans="2:14" x14ac:dyDescent="0.35">
      <c r="G38" t="s">
        <v>74</v>
      </c>
    </row>
  </sheetData>
  <mergeCells count="12">
    <mergeCell ref="B21:B22"/>
    <mergeCell ref="I8:I9"/>
    <mergeCell ref="I21:I22"/>
    <mergeCell ref="K8:K9"/>
    <mergeCell ref="K21:K22"/>
    <mergeCell ref="D4:G4"/>
    <mergeCell ref="H4:K4"/>
    <mergeCell ref="B10:B11"/>
    <mergeCell ref="L4:S4"/>
    <mergeCell ref="B8:B9"/>
    <mergeCell ref="M8:M9"/>
    <mergeCell ref="O8:O9"/>
  </mergeCells>
  <pageMargins left="0.25" right="0.25" top="0.75" bottom="0.75" header="0.3" footer="0.3"/>
  <pageSetup scale="24" fitToHeight="0" orientation="landscape" r:id="rId1"/>
  <headerFooter>
    <oddFooter>&amp;C_x000D_&amp;1#&amp;"Calibri"&amp;22&amp;K0073CF INTERNAL</oddFooter>
  </headerFooter>
  <ignoredErrors>
    <ignoredError sqref="K12 K17 K24"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O23"/>
  <sheetViews>
    <sheetView zoomScaleNormal="100" zoomScaleSheetLayoutView="100" workbookViewId="0">
      <selection activeCell="C2" sqref="C2"/>
    </sheetView>
  </sheetViews>
  <sheetFormatPr defaultColWidth="9.36328125" defaultRowHeight="14.5" x14ac:dyDescent="0.35"/>
  <cols>
    <col min="1" max="1" width="4.36328125" customWidth="1"/>
    <col min="2" max="2" width="32" customWidth="1"/>
    <col min="3" max="3" width="64.54296875" customWidth="1"/>
    <col min="4" max="8" width="13.54296875" customWidth="1"/>
    <col min="9" max="9" width="14.54296875" customWidth="1"/>
    <col min="10" max="10" width="16.36328125" customWidth="1"/>
    <col min="11" max="11" width="16.36328125" style="4" customWidth="1"/>
    <col min="12" max="13" width="16.36328125" customWidth="1"/>
    <col min="14" max="15" width="15.54296875" style="2" customWidth="1"/>
    <col min="16" max="16" width="13.54296875" customWidth="1"/>
    <col min="20" max="20" width="9.36328125" customWidth="1"/>
  </cols>
  <sheetData>
    <row r="1" spans="1:15" ht="23.5" x14ac:dyDescent="0.55000000000000004">
      <c r="A1" s="1" t="s">
        <v>8</v>
      </c>
      <c r="K1" s="33"/>
      <c r="N1" s="32"/>
      <c r="O1" s="32"/>
    </row>
    <row r="2" spans="1:15" x14ac:dyDescent="0.35">
      <c r="K2" s="33"/>
      <c r="N2" s="32"/>
      <c r="O2" s="32"/>
    </row>
    <row r="3" spans="1:15" ht="19" thickBot="1" x14ac:dyDescent="0.5">
      <c r="A3" s="5"/>
      <c r="B3" s="5" t="s">
        <v>134</v>
      </c>
      <c r="C3" s="5"/>
      <c r="D3" s="5"/>
      <c r="E3" s="5"/>
      <c r="F3" s="5"/>
      <c r="G3" s="5"/>
      <c r="H3" s="5"/>
      <c r="K3" s="42"/>
      <c r="N3" s="32"/>
      <c r="O3" s="32"/>
    </row>
    <row r="4" spans="1:15" ht="43.4" customHeight="1" thickBot="1" x14ac:dyDescent="0.4">
      <c r="A4" t="s">
        <v>9</v>
      </c>
      <c r="B4" s="27"/>
      <c r="C4" s="27"/>
      <c r="D4" s="285" t="s">
        <v>6</v>
      </c>
      <c r="E4" s="285"/>
      <c r="F4" s="305" t="s">
        <v>75</v>
      </c>
      <c r="G4" s="306"/>
      <c r="H4" s="307" t="s">
        <v>11</v>
      </c>
      <c r="I4" s="308"/>
      <c r="K4" s="33"/>
      <c r="M4" s="40" t="s">
        <v>6</v>
      </c>
      <c r="N4" s="40"/>
      <c r="O4" s="40"/>
    </row>
    <row r="5" spans="1:15" ht="21" customHeight="1" thickBot="1" x14ac:dyDescent="0.4">
      <c r="B5" s="53"/>
      <c r="C5" s="27"/>
      <c r="D5" s="70" t="s">
        <v>12</v>
      </c>
      <c r="E5" s="71" t="s">
        <v>13</v>
      </c>
      <c r="F5" s="72" t="s">
        <v>14</v>
      </c>
      <c r="G5" s="73" t="s">
        <v>76</v>
      </c>
      <c r="H5" s="74" t="s">
        <v>16</v>
      </c>
      <c r="I5" s="75" t="s">
        <v>17</v>
      </c>
      <c r="K5" s="33"/>
      <c r="N5" s="32"/>
      <c r="O5" s="32"/>
    </row>
    <row r="6" spans="1:15" ht="52.5" customHeight="1" thickBot="1" x14ac:dyDescent="0.4">
      <c r="B6" s="76"/>
      <c r="C6" s="77"/>
      <c r="D6" s="309" t="s">
        <v>29</v>
      </c>
      <c r="E6" s="310"/>
      <c r="F6" s="311" t="s">
        <v>77</v>
      </c>
      <c r="G6" s="312"/>
      <c r="H6" s="303" t="s">
        <v>37</v>
      </c>
      <c r="I6" s="304"/>
      <c r="K6" s="33"/>
      <c r="N6" s="32"/>
      <c r="O6" s="32"/>
    </row>
    <row r="7" spans="1:15" ht="29.5" thickBot="1" x14ac:dyDescent="0.4">
      <c r="B7" s="86" t="s">
        <v>43</v>
      </c>
      <c r="C7" s="87" t="s">
        <v>44</v>
      </c>
      <c r="D7" s="88" t="s">
        <v>78</v>
      </c>
      <c r="E7" s="89" t="s">
        <v>79</v>
      </c>
      <c r="F7" s="88" t="s">
        <v>78</v>
      </c>
      <c r="G7" s="89" t="s">
        <v>79</v>
      </c>
      <c r="H7" s="88" t="s">
        <v>78</v>
      </c>
      <c r="I7" s="90" t="s">
        <v>79</v>
      </c>
      <c r="J7" s="35"/>
      <c r="K7" s="36"/>
      <c r="L7" s="35"/>
      <c r="M7" s="35"/>
      <c r="N7" s="35"/>
      <c r="O7" s="35"/>
    </row>
    <row r="8" spans="1:15" x14ac:dyDescent="0.35">
      <c r="B8" s="291" t="s">
        <v>80</v>
      </c>
      <c r="C8" s="130" t="s">
        <v>46</v>
      </c>
      <c r="D8" s="206">
        <v>9</v>
      </c>
      <c r="E8" s="137">
        <f>'Qtr Electric Master'!F8-D8</f>
        <v>7895</v>
      </c>
      <c r="F8" s="199">
        <f>D8/(D8+E8)*233.17</f>
        <v>0.26550227732793519</v>
      </c>
      <c r="G8" s="252">
        <f>233.17-F8</f>
        <v>232.90449772267206</v>
      </c>
      <c r="H8" s="207">
        <f>D8/(D8+E8)*'Qtr Electric Master'!N8</f>
        <v>2.4963078188259109</v>
      </c>
      <c r="I8" s="138">
        <f>'Qtr Electric Master'!N8-H8</f>
        <v>2189.8166921811744</v>
      </c>
      <c r="J8" s="32"/>
      <c r="K8" s="37"/>
      <c r="L8" s="32"/>
      <c r="M8" s="32"/>
      <c r="N8" s="32"/>
      <c r="O8" s="32"/>
    </row>
    <row r="9" spans="1:15" x14ac:dyDescent="0.35">
      <c r="B9" s="292"/>
      <c r="C9" s="131" t="s">
        <v>47</v>
      </c>
      <c r="D9" s="85" t="s">
        <v>55</v>
      </c>
      <c r="E9" s="132">
        <f>'Qtr Electric Master'!F9</f>
        <v>33721</v>
      </c>
      <c r="F9" s="194" t="s">
        <v>55</v>
      </c>
      <c r="G9" s="194">
        <v>0</v>
      </c>
      <c r="H9" s="85" t="s">
        <v>55</v>
      </c>
      <c r="I9" s="135">
        <f>'Qtr Electric Master'!N9</f>
        <v>2716</v>
      </c>
      <c r="J9" s="32"/>
      <c r="K9" s="37"/>
      <c r="L9" s="32"/>
      <c r="M9" s="32"/>
      <c r="N9" s="32"/>
      <c r="O9" s="32"/>
    </row>
    <row r="10" spans="1:15" x14ac:dyDescent="0.35">
      <c r="B10" s="289" t="s">
        <v>81</v>
      </c>
      <c r="C10" s="128" t="s">
        <v>49</v>
      </c>
      <c r="D10" s="69">
        <v>0</v>
      </c>
      <c r="E10" s="137">
        <f>'Qtr Electric Master'!F10-D10</f>
        <v>33</v>
      </c>
      <c r="F10" s="199">
        <f>D10/(D10+E10)*23.832</f>
        <v>0</v>
      </c>
      <c r="G10" s="193">
        <f>23.832-F10</f>
        <v>23.832000000000001</v>
      </c>
      <c r="H10" s="207">
        <f>D10/(D10+E10)*'Qtr Electric Master'!N10</f>
        <v>0</v>
      </c>
      <c r="I10" s="138">
        <f>'Qtr Electric Master'!N10-H10</f>
        <v>88.129000000000005</v>
      </c>
      <c r="J10" s="32"/>
      <c r="K10" s="37"/>
      <c r="L10" s="32"/>
      <c r="M10" s="32"/>
      <c r="N10" s="32"/>
      <c r="O10" s="32"/>
    </row>
    <row r="11" spans="1:15" x14ac:dyDescent="0.35">
      <c r="B11" s="289"/>
      <c r="C11" s="128" t="s">
        <v>50</v>
      </c>
      <c r="D11" s="152">
        <f>'Qtr Electric Master'!F11</f>
        <v>3504</v>
      </c>
      <c r="E11" s="69" t="s">
        <v>55</v>
      </c>
      <c r="F11" s="198">
        <v>18.466000000000001</v>
      </c>
      <c r="G11" s="195" t="s">
        <v>55</v>
      </c>
      <c r="H11" s="152">
        <f>'Qtr Electric Master'!N11</f>
        <v>575.69399999999996</v>
      </c>
      <c r="I11" s="138" t="s">
        <v>55</v>
      </c>
      <c r="J11" s="32"/>
      <c r="K11" s="37"/>
      <c r="L11" s="32"/>
      <c r="M11" s="32"/>
      <c r="N11" s="32"/>
      <c r="O11" s="32"/>
    </row>
    <row r="12" spans="1:15" x14ac:dyDescent="0.35">
      <c r="B12" s="10" t="s">
        <v>51</v>
      </c>
      <c r="C12" s="11"/>
      <c r="D12" s="155">
        <f t="shared" ref="D12:H12" si="0">SUM(D8:D11)</f>
        <v>3513</v>
      </c>
      <c r="E12" s="155">
        <f t="shared" si="0"/>
        <v>41649</v>
      </c>
      <c r="F12" s="200">
        <f t="shared" si="0"/>
        <v>18.731502277327937</v>
      </c>
      <c r="G12" s="200">
        <f t="shared" si="0"/>
        <v>256.73649772267208</v>
      </c>
      <c r="H12" s="208">
        <f t="shared" si="0"/>
        <v>578.19030781882589</v>
      </c>
      <c r="I12" s="155">
        <f>SUM(I8:I11)</f>
        <v>4993.9456921811743</v>
      </c>
      <c r="J12" s="35"/>
      <c r="K12" s="36"/>
      <c r="L12" s="35"/>
      <c r="M12" s="35"/>
      <c r="N12" s="35"/>
      <c r="O12" s="35"/>
    </row>
    <row r="13" spans="1:15" x14ac:dyDescent="0.35">
      <c r="B13" s="66"/>
      <c r="C13" s="64"/>
      <c r="D13" s="165"/>
      <c r="E13" s="161"/>
      <c r="F13" s="201"/>
      <c r="G13" s="202"/>
      <c r="H13" s="161"/>
      <c r="I13" s="209"/>
      <c r="J13" s="38"/>
      <c r="K13" s="38"/>
      <c r="L13" s="38"/>
      <c r="M13" s="38"/>
      <c r="N13" s="38"/>
      <c r="O13" s="38"/>
    </row>
    <row r="14" spans="1:15" x14ac:dyDescent="0.35">
      <c r="B14" s="67" t="s">
        <v>7</v>
      </c>
      <c r="C14" s="65" t="s">
        <v>55</v>
      </c>
      <c r="D14" s="152">
        <v>0</v>
      </c>
      <c r="E14" s="152">
        <f>'Qtr Electric Master'!F19-D14</f>
        <v>22</v>
      </c>
      <c r="F14" s="199">
        <f>D14/(D14+E14)*4.033</f>
        <v>0</v>
      </c>
      <c r="G14" s="196">
        <f>4.033-F14</f>
        <v>4.0330000000000004</v>
      </c>
      <c r="H14" s="207">
        <f>D14/(D14+E14)*'Qtr Electric Master'!N19</f>
        <v>0</v>
      </c>
      <c r="I14" s="134">
        <f>'Qtr Electric Master'!N19-H14</f>
        <v>14.983000000000001</v>
      </c>
      <c r="J14" s="38"/>
      <c r="K14" s="38"/>
      <c r="L14" s="38"/>
      <c r="M14" s="38"/>
      <c r="N14" s="38"/>
      <c r="O14" s="38"/>
    </row>
    <row r="15" spans="1:15" x14ac:dyDescent="0.35">
      <c r="B15" s="10" t="s">
        <v>60</v>
      </c>
      <c r="C15" s="11" t="s">
        <v>44</v>
      </c>
      <c r="D15" s="155"/>
      <c r="E15" s="168"/>
      <c r="F15" s="200"/>
      <c r="G15" s="203"/>
      <c r="H15" s="168"/>
      <c r="I15" s="210"/>
      <c r="J15" s="35"/>
      <c r="K15" s="36"/>
      <c r="L15" s="35"/>
      <c r="M15" s="35"/>
      <c r="N15" s="35"/>
      <c r="O15" s="35"/>
    </row>
    <row r="16" spans="1:15" x14ac:dyDescent="0.35">
      <c r="B16" s="297" t="s">
        <v>4</v>
      </c>
      <c r="C16" s="129" t="s">
        <v>61</v>
      </c>
      <c r="D16" s="211">
        <v>0</v>
      </c>
      <c r="E16" s="133">
        <f>'Qtr Electric Master'!F21-'Qtr Electric LMI'!D16</f>
        <v>1958</v>
      </c>
      <c r="F16" s="199">
        <f>D16/(D16+E16)*87</f>
        <v>0</v>
      </c>
      <c r="G16" s="196">
        <f>87-F16</f>
        <v>87</v>
      </c>
      <c r="H16" s="85" t="s">
        <v>55</v>
      </c>
      <c r="I16" s="134" t="s">
        <v>55</v>
      </c>
      <c r="J16" s="34"/>
      <c r="K16" s="33"/>
      <c r="L16" s="34"/>
      <c r="M16" s="34"/>
      <c r="N16" s="32"/>
      <c r="O16" s="32"/>
    </row>
    <row r="17" spans="2:15" x14ac:dyDescent="0.35">
      <c r="B17" s="298"/>
      <c r="C17" s="129" t="s">
        <v>62</v>
      </c>
      <c r="D17" s="132" t="s">
        <v>55</v>
      </c>
      <c r="E17" s="132">
        <f>'Qtr Electric Master'!F22</f>
        <v>1725</v>
      </c>
      <c r="F17" s="197" t="s">
        <v>55</v>
      </c>
      <c r="G17" s="196">
        <v>0</v>
      </c>
      <c r="H17" s="85" t="s">
        <v>55</v>
      </c>
      <c r="I17" s="134" t="s">
        <v>55</v>
      </c>
      <c r="J17" s="34"/>
      <c r="K17" s="33"/>
      <c r="L17" s="34"/>
      <c r="M17" s="34"/>
      <c r="N17" s="32"/>
      <c r="O17" s="32"/>
    </row>
    <row r="18" spans="2:15" x14ac:dyDescent="0.35">
      <c r="B18" s="9" t="s">
        <v>1</v>
      </c>
      <c r="C18" s="61" t="s">
        <v>55</v>
      </c>
      <c r="D18" s="211">
        <v>0</v>
      </c>
      <c r="E18" s="133">
        <f>'Qtr Electric Master'!F23-'Qtr Electric LMI'!D18</f>
        <v>10</v>
      </c>
      <c r="F18" s="199">
        <f>D18/(D18+E18)*75.565</f>
        <v>0</v>
      </c>
      <c r="G18" s="196">
        <f>75.565-F18</f>
        <v>75.564999999999998</v>
      </c>
      <c r="H18" s="207">
        <f>D18/(D18+E18)*'Qtr Electric Master'!N23</f>
        <v>0</v>
      </c>
      <c r="I18" s="134">
        <f>'Qtr Electric Master'!N23-H18</f>
        <v>117.57766705744432</v>
      </c>
      <c r="J18" s="34"/>
      <c r="K18" s="33"/>
      <c r="L18" s="34"/>
      <c r="M18" s="34"/>
      <c r="N18" s="32"/>
      <c r="O18" s="32"/>
    </row>
    <row r="19" spans="2:15" x14ac:dyDescent="0.35">
      <c r="B19" s="10" t="s">
        <v>64</v>
      </c>
      <c r="C19" s="11"/>
      <c r="D19" s="155">
        <f t="shared" ref="D19:I19" si="1">SUM(D16:D18)</f>
        <v>0</v>
      </c>
      <c r="E19" s="155">
        <f t="shared" si="1"/>
        <v>3693</v>
      </c>
      <c r="F19" s="200">
        <f t="shared" si="1"/>
        <v>0</v>
      </c>
      <c r="G19" s="200">
        <f t="shared" si="1"/>
        <v>162.565</v>
      </c>
      <c r="H19" s="208">
        <f t="shared" si="1"/>
        <v>0</v>
      </c>
      <c r="I19" s="155">
        <f t="shared" si="1"/>
        <v>117.57766705744432</v>
      </c>
      <c r="J19" s="39"/>
      <c r="K19" s="36"/>
      <c r="L19" s="39"/>
      <c r="M19" s="39"/>
      <c r="N19" s="35"/>
      <c r="O19" s="35"/>
    </row>
    <row r="20" spans="2:15" x14ac:dyDescent="0.35">
      <c r="B20" s="66"/>
      <c r="C20" s="64"/>
      <c r="D20" s="165"/>
      <c r="E20" s="161"/>
      <c r="F20" s="201"/>
      <c r="G20" s="202"/>
      <c r="H20" s="161"/>
      <c r="I20" s="209"/>
      <c r="J20" s="38"/>
      <c r="K20" s="38"/>
      <c r="L20" s="38"/>
      <c r="M20" s="38"/>
      <c r="N20" s="38"/>
      <c r="O20" s="38"/>
    </row>
    <row r="21" spans="2:15" x14ac:dyDescent="0.35">
      <c r="B21" s="67" t="s">
        <v>82</v>
      </c>
      <c r="C21" s="65" t="s">
        <v>55</v>
      </c>
      <c r="D21" s="152">
        <f>'Qtr Electric Master'!F26</f>
        <v>14</v>
      </c>
      <c r="E21" s="69" t="s">
        <v>55</v>
      </c>
      <c r="F21" s="198">
        <v>107.724</v>
      </c>
      <c r="G21" s="195" t="s">
        <v>55</v>
      </c>
      <c r="H21" s="212">
        <f>'Qtr Electric Master'!N26</f>
        <v>24.2</v>
      </c>
      <c r="I21" s="134" t="s">
        <v>55</v>
      </c>
      <c r="J21" s="38"/>
      <c r="K21" s="38"/>
      <c r="L21" s="38"/>
      <c r="M21" s="38"/>
      <c r="N21" s="38"/>
      <c r="O21" s="38"/>
    </row>
    <row r="22" spans="2:15" ht="15" thickBot="1" x14ac:dyDescent="0.4">
      <c r="B22" s="18" t="s">
        <v>83</v>
      </c>
      <c r="C22" s="19"/>
      <c r="D22" s="213"/>
      <c r="E22" s="214"/>
      <c r="F22" s="204">
        <v>0</v>
      </c>
      <c r="G22" s="205">
        <v>0</v>
      </c>
      <c r="H22" s="215"/>
      <c r="I22" s="216"/>
      <c r="J22" s="35"/>
      <c r="K22" s="36"/>
      <c r="L22" s="35"/>
      <c r="M22" s="35"/>
      <c r="N22" s="35"/>
      <c r="O22" s="35"/>
    </row>
    <row r="23" spans="2:15" x14ac:dyDescent="0.35">
      <c r="B23" s="10" t="s">
        <v>67</v>
      </c>
      <c r="C23" s="11"/>
      <c r="D23" s="155">
        <f>+D12+D14+D19+D21</f>
        <v>3527</v>
      </c>
      <c r="E23" s="155">
        <f>+E12+E14+E19</f>
        <v>45364</v>
      </c>
      <c r="F23" s="200">
        <f>+F12+F14+F19+F21</f>
        <v>126.45550227732794</v>
      </c>
      <c r="G23" s="200">
        <f>+G12+G14+G19</f>
        <v>423.3344977226721</v>
      </c>
      <c r="H23" s="208">
        <f>+H12+H14+H19+H21</f>
        <v>602.39030781882593</v>
      </c>
      <c r="I23" s="155">
        <f>+I12+I14+I19</f>
        <v>5126.5063592386186</v>
      </c>
      <c r="J23" s="35"/>
      <c r="K23" s="36"/>
      <c r="L23" s="35"/>
      <c r="M23" s="35"/>
      <c r="N23" s="35"/>
      <c r="O23" s="35"/>
    </row>
  </sheetData>
  <mergeCells count="9">
    <mergeCell ref="H6:I6"/>
    <mergeCell ref="D4:E4"/>
    <mergeCell ref="F4:G4"/>
    <mergeCell ref="H4:I4"/>
    <mergeCell ref="B16:B17"/>
    <mergeCell ref="B8:B9"/>
    <mergeCell ref="B10:B11"/>
    <mergeCell ref="D6:E6"/>
    <mergeCell ref="F6:G6"/>
  </mergeCells>
  <pageMargins left="0.25" right="0.25" top="0.75" bottom="0.75" header="0.3" footer="0.3"/>
  <pageSetup scale="55" fitToHeight="0" orientation="landscape" r:id="rId1"/>
  <headerFooter>
    <oddFooter>&amp;C_x000D_&amp;1#&amp;"Calibri"&amp;22&amp;K0073CF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AD19"/>
  <sheetViews>
    <sheetView topLeftCell="B1" zoomScaleNormal="100" zoomScaleSheetLayoutView="100" workbookViewId="0">
      <selection activeCell="C1" sqref="C1"/>
    </sheetView>
  </sheetViews>
  <sheetFormatPr defaultColWidth="9.36328125" defaultRowHeight="14.5" x14ac:dyDescent="0.35"/>
  <cols>
    <col min="1" max="1" width="4.36328125" customWidth="1"/>
    <col min="2" max="2" width="41.36328125" customWidth="1"/>
    <col min="3" max="3" width="65.36328125" customWidth="1"/>
    <col min="4" max="8" width="13.54296875" customWidth="1"/>
    <col min="9" max="9" width="14.54296875" customWidth="1"/>
    <col min="10" max="10" width="16.36328125" customWidth="1"/>
    <col min="11" max="11" width="16.36328125" style="4" customWidth="1"/>
    <col min="12" max="13" width="16.36328125" customWidth="1"/>
    <col min="14" max="15" width="15.54296875" style="2" customWidth="1"/>
    <col min="16" max="16" width="13.54296875" customWidth="1"/>
    <col min="20" max="20" width="9.36328125" customWidth="1"/>
  </cols>
  <sheetData>
    <row r="1" spans="1:30" ht="23.5" x14ac:dyDescent="0.55000000000000004">
      <c r="A1" s="1" t="s">
        <v>8</v>
      </c>
      <c r="K1" s="33"/>
      <c r="N1" s="32"/>
      <c r="O1" s="32"/>
    </row>
    <row r="2" spans="1:30" x14ac:dyDescent="0.35">
      <c r="K2" s="33"/>
      <c r="N2" s="32"/>
      <c r="O2" s="32"/>
    </row>
    <row r="3" spans="1:30" ht="19" thickBot="1" x14ac:dyDescent="0.5">
      <c r="A3" s="5"/>
      <c r="B3" s="5" t="s">
        <v>134</v>
      </c>
      <c r="C3" s="5"/>
      <c r="D3" s="5"/>
      <c r="E3" s="5"/>
      <c r="F3" s="5"/>
      <c r="G3" s="5"/>
      <c r="H3" s="5"/>
      <c r="K3" s="42"/>
      <c r="N3" s="32"/>
      <c r="O3" s="32"/>
    </row>
    <row r="4" spans="1:30" ht="43.4" customHeight="1" thickBot="1" x14ac:dyDescent="0.4">
      <c r="A4" t="s">
        <v>9</v>
      </c>
      <c r="B4" s="53"/>
      <c r="C4" s="84"/>
      <c r="D4" s="285" t="s">
        <v>6</v>
      </c>
      <c r="E4" s="286"/>
      <c r="F4" s="305" t="s">
        <v>75</v>
      </c>
      <c r="G4" s="306"/>
      <c r="H4" s="307" t="s">
        <v>11</v>
      </c>
      <c r="I4" s="308"/>
      <c r="K4" s="33"/>
      <c r="M4" s="40" t="s">
        <v>6</v>
      </c>
      <c r="N4" s="40"/>
      <c r="O4" s="40"/>
    </row>
    <row r="5" spans="1:30" ht="21" customHeight="1" thickBot="1" x14ac:dyDescent="0.4">
      <c r="B5" s="51"/>
      <c r="C5" s="91"/>
      <c r="D5" s="60" t="s">
        <v>12</v>
      </c>
      <c r="E5" s="47" t="s">
        <v>13</v>
      </c>
      <c r="F5" s="49" t="s">
        <v>14</v>
      </c>
      <c r="G5" s="50" t="s">
        <v>76</v>
      </c>
      <c r="H5" s="46" t="s">
        <v>16</v>
      </c>
      <c r="I5" s="47" t="s">
        <v>17</v>
      </c>
      <c r="K5" s="33"/>
      <c r="N5" s="32"/>
      <c r="O5" s="32"/>
    </row>
    <row r="6" spans="1:30" ht="52.5" customHeight="1" thickBot="1" x14ac:dyDescent="0.4">
      <c r="B6" s="52"/>
      <c r="C6" s="92"/>
      <c r="D6" s="313" t="s">
        <v>29</v>
      </c>
      <c r="E6" s="314"/>
      <c r="F6" s="315" t="s">
        <v>77</v>
      </c>
      <c r="G6" s="316"/>
      <c r="H6" s="303" t="s">
        <v>37</v>
      </c>
      <c r="I6" s="304"/>
      <c r="K6" s="33"/>
      <c r="N6" s="32"/>
      <c r="O6" s="32"/>
    </row>
    <row r="7" spans="1:30" ht="29" x14ac:dyDescent="0.35">
      <c r="B7" s="78" t="s">
        <v>52</v>
      </c>
      <c r="C7" s="79" t="s">
        <v>53</v>
      </c>
      <c r="D7" s="80" t="s">
        <v>84</v>
      </c>
      <c r="E7" s="80" t="s">
        <v>85</v>
      </c>
      <c r="F7" s="80" t="s">
        <v>84</v>
      </c>
      <c r="G7" s="80" t="s">
        <v>85</v>
      </c>
      <c r="H7" s="80" t="s">
        <v>84</v>
      </c>
      <c r="I7" s="81" t="s">
        <v>85</v>
      </c>
      <c r="J7" s="35"/>
      <c r="K7" s="36"/>
      <c r="L7" s="35"/>
      <c r="M7" s="35"/>
      <c r="N7" s="35"/>
      <c r="O7" s="35"/>
    </row>
    <row r="8" spans="1:30" x14ac:dyDescent="0.35">
      <c r="B8" s="83" t="s">
        <v>86</v>
      </c>
      <c r="C8" s="62" t="s">
        <v>55</v>
      </c>
      <c r="D8" s="69">
        <f>'Qtr Electric Master'!F15</f>
        <v>28</v>
      </c>
      <c r="E8" s="69" t="s">
        <v>55</v>
      </c>
      <c r="F8" s="151">
        <v>1007.849</v>
      </c>
      <c r="G8" s="174" t="s">
        <v>55</v>
      </c>
      <c r="H8" s="152">
        <f>'Qtr Electric Master'!N15</f>
        <v>1045.3489999999999</v>
      </c>
      <c r="I8" s="48" t="s">
        <v>55</v>
      </c>
      <c r="J8" s="34"/>
      <c r="K8" s="33"/>
      <c r="L8" s="34"/>
      <c r="M8" s="34"/>
      <c r="N8" s="32"/>
      <c r="O8" s="32"/>
    </row>
    <row r="9" spans="1:30" ht="14.25" customHeight="1" x14ac:dyDescent="0.35">
      <c r="B9" s="83" t="s">
        <v>87</v>
      </c>
      <c r="C9" s="128" t="s">
        <v>57</v>
      </c>
      <c r="D9" s="69">
        <v>0</v>
      </c>
      <c r="E9" s="69">
        <f>'Qtr Electric Master'!F16-'Qtr Electric Business'!D9</f>
        <v>40</v>
      </c>
      <c r="F9" s="151">
        <f>(D9/(D9+E9))*352.014</f>
        <v>0</v>
      </c>
      <c r="G9" s="151">
        <f>352.014-'Qtr Electric Business'!F9</f>
        <v>352.01400000000001</v>
      </c>
      <c r="H9" s="152">
        <f>(D9/(D9+E9))*'Qtr Electric Master'!N16</f>
        <v>0</v>
      </c>
      <c r="I9" s="134">
        <f>'Qtr Electric Master'!N16-'Qtr Electric Business'!H9</f>
        <v>2771.1350000000002</v>
      </c>
      <c r="J9" s="41"/>
      <c r="K9" s="41"/>
      <c r="L9" s="41"/>
      <c r="M9" s="34"/>
      <c r="N9" s="32"/>
      <c r="O9" s="32"/>
    </row>
    <row r="10" spans="1:30" s="12" customFormat="1" x14ac:dyDescent="0.35">
      <c r="B10" s="10" t="s">
        <v>58</v>
      </c>
      <c r="C10" s="116"/>
      <c r="D10" s="168">
        <f>SUM(D8:D9)</f>
        <v>28</v>
      </c>
      <c r="E10" s="168">
        <f>E9</f>
        <v>40</v>
      </c>
      <c r="F10" s="159">
        <f>SUM(F8:F9)</f>
        <v>1007.849</v>
      </c>
      <c r="G10" s="158">
        <f>G9</f>
        <v>352.01400000000001</v>
      </c>
      <c r="H10" s="155">
        <f>SUM(H8:H9)</f>
        <v>1045.3489999999999</v>
      </c>
      <c r="I10" s="210">
        <f>I9</f>
        <v>2771.1350000000002</v>
      </c>
      <c r="J10" s="35"/>
      <c r="K10" s="36"/>
      <c r="L10" s="35"/>
      <c r="M10" s="35"/>
      <c r="N10" s="35"/>
      <c r="O10" s="35"/>
      <c r="P10"/>
      <c r="Q10"/>
      <c r="R10"/>
      <c r="S10"/>
      <c r="T10"/>
      <c r="U10"/>
      <c r="V10"/>
      <c r="W10"/>
      <c r="X10"/>
      <c r="Y10"/>
      <c r="Z10"/>
      <c r="AA10"/>
      <c r="AB10"/>
      <c r="AC10"/>
      <c r="AD10"/>
    </row>
    <row r="11" spans="1:30" x14ac:dyDescent="0.35">
      <c r="B11" s="66"/>
      <c r="C11" s="115"/>
      <c r="D11" s="161"/>
      <c r="E11" s="161"/>
      <c r="F11" s="164"/>
      <c r="G11" s="164"/>
      <c r="H11" s="165"/>
      <c r="I11" s="209"/>
      <c r="J11" s="38"/>
      <c r="K11" s="38"/>
      <c r="L11" s="38"/>
      <c r="M11" s="38"/>
      <c r="N11" s="38"/>
      <c r="O11" s="38"/>
    </row>
    <row r="12" spans="1:30" x14ac:dyDescent="0.35">
      <c r="B12" s="82" t="s">
        <v>60</v>
      </c>
      <c r="C12" s="116" t="s">
        <v>44</v>
      </c>
      <c r="D12" s="168"/>
      <c r="E12" s="168"/>
      <c r="F12" s="159"/>
      <c r="G12" s="159"/>
      <c r="H12" s="155"/>
      <c r="I12" s="210"/>
      <c r="J12" s="35"/>
      <c r="K12" s="36"/>
      <c r="L12" s="35"/>
      <c r="M12" s="35"/>
      <c r="N12" s="35"/>
      <c r="O12" s="35"/>
    </row>
    <row r="13" spans="1:30" x14ac:dyDescent="0.35">
      <c r="B13" s="297" t="s">
        <v>4</v>
      </c>
      <c r="C13" s="129" t="s">
        <v>61</v>
      </c>
      <c r="D13" s="179">
        <v>0</v>
      </c>
      <c r="E13" s="175">
        <v>0</v>
      </c>
      <c r="F13" s="217">
        <v>0</v>
      </c>
      <c r="G13" s="217">
        <v>0</v>
      </c>
      <c r="H13" s="152">
        <v>0</v>
      </c>
      <c r="I13" s="134">
        <v>0</v>
      </c>
      <c r="J13" s="34"/>
      <c r="K13" s="33"/>
      <c r="L13" s="34"/>
      <c r="M13" s="34"/>
      <c r="N13" s="32"/>
      <c r="O13" s="32"/>
    </row>
    <row r="14" spans="1:30" x14ac:dyDescent="0.35">
      <c r="B14" s="298"/>
      <c r="C14" s="129" t="s">
        <v>62</v>
      </c>
      <c r="D14" s="179">
        <v>0</v>
      </c>
      <c r="E14" s="175">
        <v>0</v>
      </c>
      <c r="F14" s="217">
        <v>0</v>
      </c>
      <c r="G14" s="217">
        <v>0</v>
      </c>
      <c r="H14" s="152">
        <v>0</v>
      </c>
      <c r="I14" s="134">
        <v>0</v>
      </c>
      <c r="J14" s="34"/>
      <c r="K14" s="33"/>
      <c r="L14" s="34"/>
      <c r="M14" s="34"/>
      <c r="N14" s="32"/>
      <c r="O14" s="32"/>
    </row>
    <row r="15" spans="1:30" x14ac:dyDescent="0.35">
      <c r="B15" s="9" t="s">
        <v>63</v>
      </c>
      <c r="C15" s="61" t="s">
        <v>55</v>
      </c>
      <c r="D15" s="179">
        <v>0</v>
      </c>
      <c r="E15" s="175">
        <v>0</v>
      </c>
      <c r="F15" s="217">
        <v>0</v>
      </c>
      <c r="G15" s="217">
        <v>0</v>
      </c>
      <c r="H15" s="152">
        <v>0</v>
      </c>
      <c r="I15" s="134">
        <v>0</v>
      </c>
      <c r="J15" s="34"/>
      <c r="K15" s="33"/>
      <c r="L15" s="34"/>
      <c r="M15" s="34"/>
      <c r="N15" s="32"/>
      <c r="O15" s="32"/>
    </row>
    <row r="16" spans="1:30" x14ac:dyDescent="0.35">
      <c r="B16" s="10" t="s">
        <v>64</v>
      </c>
      <c r="C16" s="11"/>
      <c r="D16" s="168">
        <f t="shared" ref="D16:I16" si="0">SUM(D13:D15)</f>
        <v>0</v>
      </c>
      <c r="E16" s="155">
        <f t="shared" si="0"/>
        <v>0</v>
      </c>
      <c r="F16" s="159">
        <f t="shared" si="0"/>
        <v>0</v>
      </c>
      <c r="G16" s="159">
        <f t="shared" si="0"/>
        <v>0</v>
      </c>
      <c r="H16" s="155">
        <f t="shared" si="0"/>
        <v>0</v>
      </c>
      <c r="I16" s="210">
        <f t="shared" si="0"/>
        <v>0</v>
      </c>
      <c r="J16" s="39"/>
      <c r="K16" s="36"/>
      <c r="L16" s="39"/>
      <c r="M16" s="39"/>
      <c r="N16" s="35"/>
      <c r="O16" s="35"/>
    </row>
    <row r="17" spans="2:15" x14ac:dyDescent="0.35">
      <c r="B17" s="66"/>
      <c r="C17" s="64"/>
      <c r="D17" s="161"/>
      <c r="E17" s="161"/>
      <c r="F17" s="164"/>
      <c r="G17" s="164"/>
      <c r="H17" s="165"/>
      <c r="I17" s="209"/>
      <c r="J17" s="38"/>
      <c r="K17" s="38"/>
      <c r="L17" s="38"/>
      <c r="M17" s="38"/>
      <c r="N17" s="38"/>
      <c r="O17" s="38"/>
    </row>
    <row r="18" spans="2:15" ht="15" thickBot="1" x14ac:dyDescent="0.4">
      <c r="B18" s="18" t="s">
        <v>83</v>
      </c>
      <c r="C18" s="29"/>
      <c r="D18" s="218"/>
      <c r="E18" s="219"/>
      <c r="F18" s="220">
        <v>0</v>
      </c>
      <c r="G18" s="220">
        <v>0</v>
      </c>
      <c r="H18" s="213"/>
      <c r="I18" s="216"/>
      <c r="J18" s="35"/>
      <c r="K18" s="36"/>
      <c r="L18" s="35"/>
      <c r="M18" s="35"/>
      <c r="N18" s="35"/>
      <c r="O18" s="35"/>
    </row>
    <row r="19" spans="2:15" x14ac:dyDescent="0.35">
      <c r="B19" s="10" t="s">
        <v>67</v>
      </c>
      <c r="C19" s="11"/>
      <c r="D19" s="168">
        <f>+D10+D16</f>
        <v>28</v>
      </c>
      <c r="E19" s="168">
        <f>+E10+E16</f>
        <v>40</v>
      </c>
      <c r="F19" s="159">
        <f>F10+F16+F18</f>
        <v>1007.849</v>
      </c>
      <c r="G19" s="159">
        <f>G10+G16+G18</f>
        <v>352.01400000000001</v>
      </c>
      <c r="H19" s="155">
        <f>+H10+H16</f>
        <v>1045.3489999999999</v>
      </c>
      <c r="I19" s="155">
        <f>+I10+I16</f>
        <v>2771.1350000000002</v>
      </c>
      <c r="J19" s="35"/>
      <c r="K19" s="36"/>
      <c r="L19" s="35"/>
      <c r="M19" s="35"/>
      <c r="N19" s="35"/>
      <c r="O19" s="35"/>
    </row>
  </sheetData>
  <mergeCells count="7">
    <mergeCell ref="B13:B14"/>
    <mergeCell ref="D4:E4"/>
    <mergeCell ref="F4:G4"/>
    <mergeCell ref="H4:I4"/>
    <mergeCell ref="D6:E6"/>
    <mergeCell ref="F6:G6"/>
    <mergeCell ref="H6:I6"/>
  </mergeCells>
  <pageMargins left="0.25" right="0.25" top="0.75" bottom="0.75" header="0.3" footer="0.3"/>
  <pageSetup scale="55" fitToHeight="0" orientation="landscape" r:id="rId1"/>
  <headerFooter>
    <oddFooter>&amp;C_x000D_&amp;1#&amp;"Calibri"&amp;22&amp;K0073CF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2"/>
  <sheetViews>
    <sheetView zoomScale="90" zoomScaleNormal="90" workbookViewId="0">
      <selection activeCell="B13" sqref="B13"/>
    </sheetView>
  </sheetViews>
  <sheetFormatPr defaultRowHeight="14.5" x14ac:dyDescent="0.35"/>
  <cols>
    <col min="1" max="1" width="16.54296875" customWidth="1"/>
    <col min="2" max="2" width="16.1796875" customWidth="1"/>
    <col min="3" max="3" width="20.81640625" customWidth="1"/>
    <col min="4" max="4" width="34.36328125" customWidth="1"/>
    <col min="5" max="5" width="20" customWidth="1"/>
    <col min="6" max="6" width="15.81640625" customWidth="1"/>
    <col min="7" max="7" width="16.54296875" customWidth="1"/>
    <col min="8" max="8" width="15.1796875" customWidth="1"/>
    <col min="9" max="9" width="11" customWidth="1"/>
    <col min="10" max="10" width="11.81640625" customWidth="1"/>
    <col min="11" max="11" width="11.36328125" customWidth="1"/>
    <col min="12" max="12" width="12.36328125" customWidth="1"/>
    <col min="13" max="13" width="13.36328125" customWidth="1"/>
    <col min="15" max="15" width="34.54296875" customWidth="1"/>
  </cols>
  <sheetData>
    <row r="1" spans="1:13" ht="23.15" customHeight="1" x14ac:dyDescent="0.35">
      <c r="A1" t="s">
        <v>90</v>
      </c>
      <c r="B1" s="12" t="s">
        <v>91</v>
      </c>
    </row>
    <row r="2" spans="1:13" x14ac:dyDescent="0.35">
      <c r="A2" s="317" t="s">
        <v>92</v>
      </c>
      <c r="B2" s="317"/>
      <c r="C2" s="318"/>
      <c r="D2" s="93"/>
      <c r="E2" s="94" t="s">
        <v>93</v>
      </c>
      <c r="F2" s="319" t="s">
        <v>94</v>
      </c>
      <c r="G2" s="320"/>
      <c r="H2" s="321"/>
      <c r="I2" s="322" t="s">
        <v>95</v>
      </c>
      <c r="J2" s="323"/>
      <c r="K2" s="323"/>
      <c r="L2" s="323"/>
      <c r="M2" s="324"/>
    </row>
    <row r="3" spans="1:13" ht="72.5" x14ac:dyDescent="0.35">
      <c r="A3" s="95" t="s">
        <v>96</v>
      </c>
      <c r="B3" s="96" t="s">
        <v>97</v>
      </c>
      <c r="C3" s="97" t="s">
        <v>89</v>
      </c>
      <c r="D3" s="97" t="s">
        <v>53</v>
      </c>
      <c r="E3" s="98" t="s">
        <v>29</v>
      </c>
      <c r="F3" s="99" t="s">
        <v>98</v>
      </c>
      <c r="G3" s="99" t="s">
        <v>99</v>
      </c>
      <c r="H3" s="99" t="s">
        <v>100</v>
      </c>
      <c r="I3" s="100" t="s">
        <v>101</v>
      </c>
      <c r="J3" s="100" t="s">
        <v>102</v>
      </c>
      <c r="K3" s="101" t="s">
        <v>103</v>
      </c>
      <c r="L3" s="101" t="s">
        <v>104</v>
      </c>
      <c r="M3" s="101" t="s">
        <v>105</v>
      </c>
    </row>
    <row r="4" spans="1:13" x14ac:dyDescent="0.35">
      <c r="A4" s="102" t="s">
        <v>88</v>
      </c>
      <c r="B4" s="103" t="s">
        <v>3</v>
      </c>
      <c r="C4" s="102" t="s">
        <v>80</v>
      </c>
      <c r="D4" s="61" t="s">
        <v>106</v>
      </c>
      <c r="E4" s="112">
        <f>'Qtr Electric Master'!$F$8</f>
        <v>7904</v>
      </c>
      <c r="F4" s="105">
        <f>'Qtr Electric Master'!$I$8</f>
        <v>1293.4469999999999</v>
      </c>
      <c r="G4" s="106">
        <f>SUM('Qtr Electric LMI'!$F$8:$G$8)</f>
        <v>233.17</v>
      </c>
      <c r="H4" s="106">
        <f>'Qtr Electric Master'!$J$8</f>
        <v>778.46</v>
      </c>
      <c r="I4" s="107">
        <f>'Qtr Electric Master'!$N$8</f>
        <v>2192.3130000000001</v>
      </c>
      <c r="J4" s="107">
        <f>'Qtr Electric Master'!$S$8</f>
        <v>31770.067999999999</v>
      </c>
      <c r="K4" s="113">
        <f>'Qtr Electric Master'!$Q$8</f>
        <v>0.17899999999999999</v>
      </c>
      <c r="L4" s="16"/>
      <c r="M4" s="16"/>
    </row>
    <row r="5" spans="1:13" x14ac:dyDescent="0.35">
      <c r="A5" s="102" t="s">
        <v>88</v>
      </c>
      <c r="B5" s="103" t="s">
        <v>3</v>
      </c>
      <c r="C5" s="102" t="s">
        <v>81</v>
      </c>
      <c r="D5" s="61" t="s">
        <v>107</v>
      </c>
      <c r="E5" s="112">
        <f>'Qtr Electric Master'!$F$10</f>
        <v>33</v>
      </c>
      <c r="F5" s="105">
        <f>'Qtr Electric Master'!$I$10</f>
        <v>687.755</v>
      </c>
      <c r="G5" s="106">
        <f>SUM('Qtr Electric LMI'!$F$10:$G$10)</f>
        <v>23.832000000000001</v>
      </c>
      <c r="H5" s="106">
        <f>'Qtr Electric Master'!$J$10</f>
        <v>231.226</v>
      </c>
      <c r="I5" s="107">
        <f>'Qtr Electric Master'!$N$10</f>
        <v>88.129000000000005</v>
      </c>
      <c r="J5" s="107">
        <f>'Qtr Electric Master'!$S$10</f>
        <v>1126.133</v>
      </c>
      <c r="K5" s="113">
        <f>'Qtr Electric Master'!$Q$10</f>
        <v>4.0000000000000001E-3</v>
      </c>
      <c r="L5" s="16"/>
      <c r="M5" s="16"/>
    </row>
    <row r="6" spans="1:13" x14ac:dyDescent="0.35">
      <c r="A6" s="102" t="s">
        <v>88</v>
      </c>
      <c r="B6" s="103" t="s">
        <v>3</v>
      </c>
      <c r="C6" s="102" t="s">
        <v>81</v>
      </c>
      <c r="D6" s="61" t="s">
        <v>50</v>
      </c>
      <c r="E6" s="112">
        <f>'Qtr Electric Master'!$F$11</f>
        <v>3504</v>
      </c>
      <c r="F6" s="105">
        <f>'Qtr Electric Master'!$I$11</f>
        <v>336.97300000000001</v>
      </c>
      <c r="G6" s="106">
        <f>SUM('Qtr Electric LMI'!$F$11:$G$11)</f>
        <v>18.466000000000001</v>
      </c>
      <c r="H6" s="106">
        <f>'Qtr Electric Master'!$J$11</f>
        <v>56.716000000000001</v>
      </c>
      <c r="I6" s="107">
        <f>'Qtr Electric Master'!$N$11</f>
        <v>575.69399999999996</v>
      </c>
      <c r="J6" s="107">
        <f>'Qtr Electric Master'!$S$11</f>
        <v>8635.4120000000003</v>
      </c>
      <c r="K6" s="113">
        <f>'Qtr Electric Master'!$Q$11</f>
        <v>4.2999999999999997E-2</v>
      </c>
      <c r="L6" s="16"/>
      <c r="M6" s="16"/>
    </row>
    <row r="7" spans="1:13" x14ac:dyDescent="0.35">
      <c r="A7" s="102" t="s">
        <v>88</v>
      </c>
      <c r="B7" s="103" t="s">
        <v>108</v>
      </c>
      <c r="C7" s="102" t="s">
        <v>109</v>
      </c>
      <c r="D7" s="61" t="s">
        <v>109</v>
      </c>
      <c r="E7" s="104">
        <f>'Qtr Electric Master'!$F$15</f>
        <v>28</v>
      </c>
      <c r="F7" s="105">
        <f>'Qtr Electric Master'!$I$15</f>
        <v>1686.6849999999999</v>
      </c>
      <c r="G7" s="106">
        <f>'Qtr Electric Business'!$F$8</f>
        <v>1007.849</v>
      </c>
      <c r="H7" s="106">
        <f>'Qtr Electric Master'!$J$15</f>
        <v>1392.3130000000001</v>
      </c>
      <c r="I7" s="107">
        <f>'Qtr Electric Master'!$N$15</f>
        <v>1045.3489999999999</v>
      </c>
      <c r="J7" s="107">
        <f>'Qtr Electric Master'!$S$15</f>
        <v>15508.272999999999</v>
      </c>
      <c r="K7" s="113">
        <f>'Qtr Electric Master'!$Q$15</f>
        <v>0.20399999999999999</v>
      </c>
      <c r="L7" s="16"/>
      <c r="M7" s="16"/>
    </row>
    <row r="8" spans="1:13" x14ac:dyDescent="0.35">
      <c r="A8" s="102" t="s">
        <v>88</v>
      </c>
      <c r="B8" s="103" t="s">
        <v>108</v>
      </c>
      <c r="C8" s="102" t="s">
        <v>110</v>
      </c>
      <c r="D8" s="61" t="s">
        <v>111</v>
      </c>
      <c r="E8" s="104">
        <f>'Qtr Electric Master'!$F$16</f>
        <v>40</v>
      </c>
      <c r="F8" s="105">
        <f>'Qtr Electric Master'!$I$16</f>
        <v>1548.271</v>
      </c>
      <c r="G8" s="106">
        <f>SUM('Qtr Electric Business'!$F$9:$G$9)</f>
        <v>352.01400000000001</v>
      </c>
      <c r="H8" s="106">
        <f>'Qtr Electric Master'!$J$16</f>
        <v>687.46100000000001</v>
      </c>
      <c r="I8" s="107">
        <f>'Qtr Electric Master'!$N$16</f>
        <v>2771.1350000000002</v>
      </c>
      <c r="J8" s="107">
        <f>'Qtr Electric Master'!$S$16</f>
        <v>39685.654000000002</v>
      </c>
      <c r="K8" s="113">
        <f>'Qtr Electric Master'!$Q$16</f>
        <v>0.57199999999999995</v>
      </c>
      <c r="L8" s="16"/>
      <c r="M8" s="16"/>
    </row>
    <row r="9" spans="1:13" x14ac:dyDescent="0.35">
      <c r="A9" s="102" t="s">
        <v>88</v>
      </c>
      <c r="B9" s="103" t="s">
        <v>7</v>
      </c>
      <c r="C9" s="102" t="s">
        <v>7</v>
      </c>
      <c r="D9" s="61" t="s">
        <v>107</v>
      </c>
      <c r="E9" s="104">
        <f>'Qtr Electric Master'!$F$19</f>
        <v>22</v>
      </c>
      <c r="F9" s="105">
        <f>'Qtr Electric Master'!$I$19</f>
        <v>503.63299999999998</v>
      </c>
      <c r="G9" s="106" t="e">
        <f>SUM('Qtr Electric Business'!#REF!)</f>
        <v>#REF!</v>
      </c>
      <c r="H9" s="106">
        <f>'Qtr Electric Master'!$J$19</f>
        <v>114.917</v>
      </c>
      <c r="I9" s="107">
        <f>'Qtr Electric Master'!$N$19</f>
        <v>14.983000000000001</v>
      </c>
      <c r="J9" s="107">
        <f>'Qtr Electric Master'!$S$19</f>
        <v>199.274</v>
      </c>
      <c r="K9" s="113">
        <f>'Qtr Electric Master'!$Q$19</f>
        <v>1E-3</v>
      </c>
      <c r="L9" s="16"/>
      <c r="M9" s="16"/>
    </row>
    <row r="10" spans="1:13" x14ac:dyDescent="0.35">
      <c r="A10" s="102" t="s">
        <v>88</v>
      </c>
      <c r="B10" s="103" t="s">
        <v>112</v>
      </c>
      <c r="C10" s="102" t="s">
        <v>4</v>
      </c>
      <c r="D10" s="61" t="s">
        <v>113</v>
      </c>
      <c r="E10" s="104">
        <f>'Qtr Electric Master'!$F$21</f>
        <v>1958</v>
      </c>
      <c r="F10" s="105">
        <f>'Qtr Electric Master'!$I$21</f>
        <v>417.334</v>
      </c>
      <c r="G10" s="106">
        <f>SUM('Qtr Electric Business'!$F$13:$G$13)</f>
        <v>0</v>
      </c>
      <c r="H10" s="106">
        <f>'Qtr Electric Master'!$J$21</f>
        <v>275.25599999999997</v>
      </c>
      <c r="I10" s="107">
        <f>'Qtr Electric Master'!$N$21</f>
        <v>0</v>
      </c>
      <c r="J10" s="107">
        <f>'Qtr Electric Master'!$S$21</f>
        <v>0</v>
      </c>
      <c r="K10" s="113">
        <f>'Qtr Electric Master'!$Q$21</f>
        <v>3.31</v>
      </c>
      <c r="L10" s="16"/>
      <c r="M10" s="16"/>
    </row>
    <row r="11" spans="1:13" x14ac:dyDescent="0.35">
      <c r="A11" s="102" t="s">
        <v>88</v>
      </c>
      <c r="B11" s="103" t="s">
        <v>112</v>
      </c>
      <c r="C11" s="102" t="s">
        <v>63</v>
      </c>
      <c r="D11" s="61" t="s">
        <v>63</v>
      </c>
      <c r="E11" s="104">
        <f>'Qtr Electric Master'!$F$23</f>
        <v>10</v>
      </c>
      <c r="F11" s="105">
        <f>'Qtr Electric Master'!$I$23</f>
        <v>747.14499999999998</v>
      </c>
      <c r="G11" s="106">
        <f>SUM('Qtr Electric Business'!$F$15:$G$15)</f>
        <v>0</v>
      </c>
      <c r="H11" s="106">
        <f>'Qtr Electric Master'!$J$23</f>
        <v>180.63200000000001</v>
      </c>
      <c r="I11" s="107">
        <f>'Qtr Electric Master'!$N$23</f>
        <v>117.57766705744432</v>
      </c>
      <c r="J11" s="107">
        <f>'Qtr Electric Master'!$S$23</f>
        <v>1793.9038686987105</v>
      </c>
      <c r="K11" s="113">
        <f>'Qtr Electric Master'!$Q$23</f>
        <v>1E-3</v>
      </c>
      <c r="L11" s="16"/>
      <c r="M11" s="16"/>
    </row>
    <row r="12" spans="1:13" x14ac:dyDescent="0.35">
      <c r="A12" s="102" t="s">
        <v>88</v>
      </c>
      <c r="B12" s="103" t="s">
        <v>3</v>
      </c>
      <c r="C12" s="102" t="s">
        <v>2</v>
      </c>
      <c r="D12" s="61" t="s">
        <v>2</v>
      </c>
      <c r="E12" s="104" t="e">
        <f>#REF!</f>
        <v>#REF!</v>
      </c>
      <c r="F12" s="105" t="e">
        <f>#REF!</f>
        <v>#REF!</v>
      </c>
      <c r="G12" s="106"/>
      <c r="H12" s="106" t="e">
        <f>#REF!</f>
        <v>#REF!</v>
      </c>
      <c r="I12" s="107" t="e">
        <f>#REF!</f>
        <v>#REF!</v>
      </c>
      <c r="J12" s="107"/>
      <c r="K12" s="107"/>
      <c r="L12" s="16"/>
      <c r="M12" s="16"/>
    </row>
    <row r="13" spans="1:13" x14ac:dyDescent="0.35">
      <c r="A13" s="102" t="s">
        <v>88</v>
      </c>
      <c r="B13" s="103"/>
      <c r="C13" s="102" t="s">
        <v>83</v>
      </c>
      <c r="D13" s="61"/>
      <c r="E13" s="104"/>
      <c r="F13" s="105">
        <f>'Qtr Electric Master'!$I$27</f>
        <v>0</v>
      </c>
      <c r="G13" s="106"/>
      <c r="H13" s="106">
        <f>'Qtr Electric Master'!$J$27</f>
        <v>8.0039999999999996</v>
      </c>
      <c r="I13" s="107"/>
      <c r="J13" s="107"/>
      <c r="K13" s="107"/>
      <c r="L13" s="16"/>
      <c r="M13" s="16"/>
    </row>
    <row r="14" spans="1:13" x14ac:dyDescent="0.35">
      <c r="A14" s="102"/>
      <c r="B14" s="103"/>
      <c r="C14" s="102"/>
      <c r="D14" s="61"/>
      <c r="E14" s="104"/>
      <c r="F14" s="105"/>
      <c r="G14" s="106"/>
      <c r="H14" s="106"/>
      <c r="I14" s="107"/>
      <c r="J14" s="107"/>
      <c r="K14" s="107"/>
      <c r="L14" s="16"/>
      <c r="M14" s="16"/>
    </row>
    <row r="15" spans="1:13" x14ac:dyDescent="0.35">
      <c r="A15" s="102"/>
      <c r="B15" s="103"/>
      <c r="C15" s="102"/>
      <c r="D15" s="120"/>
      <c r="F15" s="119"/>
      <c r="G15" s="106"/>
      <c r="H15" s="106"/>
      <c r="I15" s="107"/>
      <c r="J15" s="107"/>
      <c r="K15" s="107"/>
      <c r="L15" s="16"/>
      <c r="M15" s="16"/>
    </row>
    <row r="16" spans="1:13" x14ac:dyDescent="0.35">
      <c r="A16" s="102"/>
      <c r="B16" s="103"/>
      <c r="C16" s="102"/>
      <c r="D16" s="16"/>
      <c r="E16" s="104"/>
      <c r="F16" s="105"/>
      <c r="G16" s="106"/>
      <c r="H16" s="106"/>
      <c r="I16" s="107"/>
      <c r="J16" s="107"/>
      <c r="K16" s="107"/>
      <c r="L16" s="16"/>
      <c r="M16" s="16"/>
    </row>
    <row r="17" spans="1:13" x14ac:dyDescent="0.35">
      <c r="A17" s="102"/>
      <c r="B17" s="103"/>
      <c r="C17" s="102"/>
      <c r="D17" s="16"/>
      <c r="E17" s="104"/>
      <c r="F17" s="105"/>
      <c r="G17" s="106"/>
      <c r="H17" s="106"/>
      <c r="I17" s="107"/>
      <c r="J17" s="107"/>
      <c r="K17" s="107"/>
      <c r="L17" s="16"/>
      <c r="M17" s="16"/>
    </row>
    <row r="18" spans="1:13" x14ac:dyDescent="0.35">
      <c r="A18" s="102"/>
      <c r="B18" s="103"/>
      <c r="C18" s="102"/>
      <c r="D18" s="16"/>
      <c r="E18" s="104"/>
      <c r="F18" s="105"/>
      <c r="G18" s="106"/>
      <c r="H18" s="106"/>
      <c r="I18" s="107"/>
      <c r="J18" s="107"/>
      <c r="K18" s="107"/>
      <c r="L18" s="16"/>
      <c r="M18" s="16"/>
    </row>
    <row r="19" spans="1:13" x14ac:dyDescent="0.35">
      <c r="A19" s="102"/>
      <c r="B19" s="103"/>
      <c r="C19" s="102"/>
      <c r="D19" s="16"/>
      <c r="E19" s="104"/>
      <c r="F19" s="105"/>
      <c r="G19" s="106"/>
      <c r="H19" s="106"/>
      <c r="I19" s="107"/>
      <c r="J19" s="107"/>
      <c r="K19" s="107"/>
      <c r="L19" s="16"/>
      <c r="M19" s="16"/>
    </row>
    <row r="20" spans="1:13" x14ac:dyDescent="0.35">
      <c r="A20" s="102"/>
      <c r="B20" s="103"/>
      <c r="C20" s="102"/>
      <c r="D20" s="61"/>
      <c r="E20" s="104"/>
      <c r="F20" s="105"/>
      <c r="G20" s="106"/>
      <c r="H20" s="106"/>
      <c r="I20" s="107"/>
      <c r="J20" s="107"/>
      <c r="K20" s="107"/>
      <c r="L20" s="16"/>
      <c r="M20" s="16"/>
    </row>
    <row r="21" spans="1:13" x14ac:dyDescent="0.35">
      <c r="A21" s="102"/>
      <c r="B21" s="103"/>
      <c r="C21" s="102"/>
      <c r="D21" s="61"/>
      <c r="E21" s="104"/>
      <c r="F21" s="105"/>
      <c r="G21" s="106"/>
      <c r="H21" s="106"/>
      <c r="I21" s="107"/>
      <c r="J21" s="107"/>
      <c r="K21" s="107"/>
      <c r="L21" s="16"/>
      <c r="M21" s="16"/>
    </row>
    <row r="22" spans="1:13" x14ac:dyDescent="0.35">
      <c r="A22" s="102"/>
      <c r="B22" s="103"/>
      <c r="C22" s="102"/>
      <c r="D22" s="61"/>
      <c r="E22" s="104"/>
      <c r="F22" s="105"/>
      <c r="G22" s="106"/>
      <c r="H22" s="106"/>
      <c r="I22" s="107"/>
      <c r="J22" s="107"/>
      <c r="K22" s="107"/>
      <c r="L22" s="16"/>
      <c r="M22" s="16"/>
    </row>
  </sheetData>
  <mergeCells count="3">
    <mergeCell ref="A2:C2"/>
    <mergeCell ref="F2:H2"/>
    <mergeCell ref="I2:M2"/>
  </mergeCells>
  <conditionalFormatting sqref="G4:H22">
    <cfRule type="expression" dxfId="0" priority="1">
      <formula>IF(#REF!&gt;1,TRUE,FALSE)</formula>
    </cfRule>
  </conditionalFormatting>
  <pageMargins left="0.7" right="0.7" top="0.75" bottom="0.75" header="0.3" footer="0.3"/>
  <pageSetup orientation="portrait" r:id="rId1"/>
  <headerFooter>
    <oddFooter>&amp;C_x000D_&amp;1#&amp;"Calibri"&amp;22&amp;K0073CF INTERNAL</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900-000000000000}">
          <x14:formula1>
            <xm:f>Lookup_Sheet!$A$18:$A$24</xm:f>
          </x14:formula1>
          <xm:sqref>A4:A22</xm:sqref>
        </x14:dataValidation>
        <x14:dataValidation type="list" allowBlank="1" showInputMessage="1" showErrorMessage="1" xr:uid="{00000000-0002-0000-0900-000001000000}">
          <x14:formula1>
            <xm:f>Lookup_Sheet!$A$2:$A$5</xm:f>
          </x14:formula1>
          <xm:sqref>B4:B22</xm:sqref>
        </x14:dataValidation>
        <x14:dataValidation type="list" allowBlank="1" showInputMessage="1" xr:uid="{00000000-0002-0000-0900-000002000000}">
          <x14:formula1>
            <xm:f>Lookup_Sheet!$A$8:$A$10</xm:f>
          </x14:formula1>
          <xm:sqref>C4:C22</xm:sqref>
        </x14:dataValidation>
        <x14:dataValidation type="list" allowBlank="1" showInputMessage="1" xr:uid="{00000000-0002-0000-0900-000003000000}">
          <x14:formula1>
            <xm:f>Lookup_Sheet!$A$13:$A$15</xm:f>
          </x14:formula1>
          <xm:sqref>D4:D22</xm:sqref>
        </x14:dataValidation>
        <x14:dataValidation type="list" allowBlank="1" showInputMessage="1" showErrorMessage="1" xr:uid="{00000000-0002-0000-0900-000004000000}">
          <x14:formula1>
            <xm:f>Lookup_Sheet!$A$28:$A$39</xm:f>
          </x14:formula1>
          <xm:sqref>B1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9"/>
  <sheetViews>
    <sheetView workbookViewId="0">
      <selection activeCell="A20" sqref="A20"/>
    </sheetView>
  </sheetViews>
  <sheetFormatPr defaultRowHeight="14.5" x14ac:dyDescent="0.35"/>
  <cols>
    <col min="1" max="1" width="51.81640625" bestFit="1" customWidth="1"/>
    <col min="3" max="3" width="7.36328125" bestFit="1" customWidth="1"/>
  </cols>
  <sheetData>
    <row r="1" spans="1:1" x14ac:dyDescent="0.35">
      <c r="A1" s="108" t="s">
        <v>97</v>
      </c>
    </row>
    <row r="2" spans="1:1" x14ac:dyDescent="0.35">
      <c r="A2" s="16" t="s">
        <v>3</v>
      </c>
    </row>
    <row r="3" spans="1:1" x14ac:dyDescent="0.35">
      <c r="A3" s="16" t="s">
        <v>108</v>
      </c>
    </row>
    <row r="4" spans="1:1" x14ac:dyDescent="0.35">
      <c r="A4" s="16" t="s">
        <v>7</v>
      </c>
    </row>
    <row r="5" spans="1:1" x14ac:dyDescent="0.35">
      <c r="A5" s="16" t="s">
        <v>112</v>
      </c>
    </row>
    <row r="7" spans="1:1" x14ac:dyDescent="0.35">
      <c r="A7" s="108" t="s">
        <v>89</v>
      </c>
    </row>
    <row r="8" spans="1:1" x14ac:dyDescent="0.35">
      <c r="A8" s="16" t="s">
        <v>80</v>
      </c>
    </row>
    <row r="9" spans="1:1" x14ac:dyDescent="0.35">
      <c r="A9" s="16" t="s">
        <v>109</v>
      </c>
    </row>
    <row r="10" spans="1:1" x14ac:dyDescent="0.35">
      <c r="A10" s="16" t="s">
        <v>7</v>
      </c>
    </row>
    <row r="12" spans="1:1" x14ac:dyDescent="0.35">
      <c r="A12" s="108" t="s">
        <v>53</v>
      </c>
    </row>
    <row r="13" spans="1:1" x14ac:dyDescent="0.35">
      <c r="A13" s="16" t="s">
        <v>107</v>
      </c>
    </row>
    <row r="14" spans="1:1" x14ac:dyDescent="0.35">
      <c r="A14" s="16" t="s">
        <v>114</v>
      </c>
    </row>
    <row r="15" spans="1:1" x14ac:dyDescent="0.35">
      <c r="A15" s="16" t="s">
        <v>109</v>
      </c>
    </row>
    <row r="17" spans="1:1" x14ac:dyDescent="0.35">
      <c r="A17" s="108" t="s">
        <v>115</v>
      </c>
    </row>
    <row r="18" spans="1:1" x14ac:dyDescent="0.35">
      <c r="A18" s="109" t="s">
        <v>116</v>
      </c>
    </row>
    <row r="19" spans="1:1" x14ac:dyDescent="0.35">
      <c r="A19" s="109" t="s">
        <v>117</v>
      </c>
    </row>
    <row r="20" spans="1:1" x14ac:dyDescent="0.35">
      <c r="A20" s="109" t="s">
        <v>118</v>
      </c>
    </row>
    <row r="21" spans="1:1" x14ac:dyDescent="0.35">
      <c r="A21" s="109" t="s">
        <v>119</v>
      </c>
    </row>
    <row r="22" spans="1:1" x14ac:dyDescent="0.35">
      <c r="A22" s="109" t="s">
        <v>120</v>
      </c>
    </row>
    <row r="23" spans="1:1" x14ac:dyDescent="0.35">
      <c r="A23" s="109" t="s">
        <v>88</v>
      </c>
    </row>
    <row r="24" spans="1:1" x14ac:dyDescent="0.35">
      <c r="A24" s="109" t="s">
        <v>121</v>
      </c>
    </row>
    <row r="27" spans="1:1" x14ac:dyDescent="0.35">
      <c r="A27" s="110" t="s">
        <v>122</v>
      </c>
    </row>
    <row r="28" spans="1:1" x14ac:dyDescent="0.35">
      <c r="A28" s="111" t="s">
        <v>123</v>
      </c>
    </row>
    <row r="29" spans="1:1" x14ac:dyDescent="0.35">
      <c r="A29" s="111" t="s">
        <v>124</v>
      </c>
    </row>
    <row r="30" spans="1:1" x14ac:dyDescent="0.35">
      <c r="A30" s="111" t="s">
        <v>125</v>
      </c>
    </row>
    <row r="31" spans="1:1" x14ac:dyDescent="0.35">
      <c r="A31" s="111" t="s">
        <v>91</v>
      </c>
    </row>
    <row r="32" spans="1:1" x14ac:dyDescent="0.35">
      <c r="A32" s="111" t="s">
        <v>126</v>
      </c>
    </row>
    <row r="33" spans="1:1" x14ac:dyDescent="0.35">
      <c r="A33" s="111" t="s">
        <v>127</v>
      </c>
    </row>
    <row r="34" spans="1:1" x14ac:dyDescent="0.35">
      <c r="A34" s="111" t="s">
        <v>128</v>
      </c>
    </row>
    <row r="35" spans="1:1" x14ac:dyDescent="0.35">
      <c r="A35" s="111" t="s">
        <v>129</v>
      </c>
    </row>
    <row r="36" spans="1:1" x14ac:dyDescent="0.35">
      <c r="A36" s="111" t="s">
        <v>130</v>
      </c>
    </row>
    <row r="37" spans="1:1" x14ac:dyDescent="0.35">
      <c r="A37" s="111" t="s">
        <v>131</v>
      </c>
    </row>
    <row r="38" spans="1:1" x14ac:dyDescent="0.35">
      <c r="A38" s="111" t="s">
        <v>132</v>
      </c>
    </row>
    <row r="39" spans="1:1" x14ac:dyDescent="0.35">
      <c r="A39" s="111" t="s">
        <v>133</v>
      </c>
    </row>
  </sheetData>
  <pageMargins left="0.7" right="0.7" top="0.75" bottom="0.75" header="0.3" footer="0.3"/>
  <headerFooter>
    <oddFooter>&amp;C_x000D_&amp;1#&amp;"Calibri"&amp;22&amp;K0073CF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14" ma:contentTypeDescription="Create a new document." ma:contentTypeScope="" ma:versionID="0406514fc74ea4e16b87bf593c53f6d9">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19f1bd9310a223dd1c29bfbeaf14a95b"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ystemTag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4CBDD5-4163-49D4-8CDA-39A869F03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6747A1-12BF-4046-909E-B94B95B669EF}">
  <ds:schemaRefs>
    <ds:schemaRef ds:uri="http://purl.org/dc/terms/"/>
    <ds:schemaRef ds:uri="ba291332-5843-45d8-bfc3-9844fb3e26da"/>
    <ds:schemaRef ds:uri="http://schemas.microsoft.com/office/infopath/2007/PartnerControls"/>
    <ds:schemaRef ds:uri="http://purl.org/dc/elements/1.1/"/>
    <ds:schemaRef ds:uri="http://schemas.openxmlformats.org/package/2006/metadata/core-properties"/>
    <ds:schemaRef ds:uri="39c968e2-ee87-41b9-8fa8-4cd604c6e882"/>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3C1C89C-762F-44E2-A7B3-C59E51A842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Qtr Electric Master</vt:lpstr>
      <vt:lpstr>Qtr Electric LMI</vt:lpstr>
      <vt:lpstr>Qtr Electric Business</vt:lpstr>
      <vt:lpstr>RECO</vt:lpstr>
      <vt:lpstr>Lookup_Sheet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 [BPU]</cp:lastModifiedBy>
  <cp:revision/>
  <dcterms:created xsi:type="dcterms:W3CDTF">2021-03-17T19:24:16Z</dcterms:created>
  <dcterms:modified xsi:type="dcterms:W3CDTF">2024-07-16T17:49:30Z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SIP_Label_c80150e9-b158-425e-97d7-738cc28226d7_Enabled">
    <vt:lpwstr>true</vt:lpwstr>
  </property>
  <property fmtid="{D5CDD505-2E9C-101B-9397-08002B2CF9AE}" pid="4" name="MSIP_Label_c80150e9-b158-425e-97d7-738cc28226d7_SetDate">
    <vt:lpwstr>2023-10-31T19:07:00Z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e88797a7-3947-47d8-b37a-5db208c32ffa</vt:lpwstr>
  </property>
  <property fmtid="{D5CDD505-2E9C-101B-9397-08002B2CF9AE}" pid="9" name="MSIP_Label_c80150e9-b158-425e-97d7-738cc28226d7_ContentBits">
    <vt:lpwstr>2</vt:lpwstr>
  </property>
</Properties>
</file>