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4/Q2 2024/Final Version/"/>
    </mc:Choice>
  </mc:AlternateContent>
  <bookViews>
    <workbookView xWindow="-110" yWindow="-110" windowWidth="22780" windowHeight="14660" activeTab="2"/>
  </bookViews>
  <sheets>
    <sheet name="Qtr Electric Master" sheetId="27" r:id="rId1"/>
    <sheet name="Qtr Electric LMI" sheetId="29" r:id="rId2"/>
    <sheet name="Qtr Electric Business" sheetId="30" r:id="rId3"/>
    <sheet name="RECO" sheetId="31" state="hidden" r:id="rId4"/>
    <sheet name="Lookup_Sheet" sheetId="32" state="hidden" r:id="rId5"/>
  </sheets>
  <definedNames>
    <definedName name="wrn.CFC._.QUARTER." localSheetId="4"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4"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2" hidden="1">'Qtr Electric Business'!#REF!</definedName>
    <definedName name="Z_E3A30FBC_675D_4AD8_9B2D_12956792A138_.wvu.Rows" localSheetId="1" hidden="1">'Qtr Electric LMI'!#REF!</definedName>
    <definedName name="Z_E3A30FBC_675D_4AD8_9B2D_12956792A138_.wvu.Rows" localSheetId="0" hidden="1">'Qtr Electric Master'!#REF!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27" l="1"/>
  <c r="M23" i="27"/>
  <c r="G19" i="30" l="1"/>
  <c r="F19" i="30"/>
  <c r="G9" i="30"/>
  <c r="F9" i="30"/>
  <c r="I23" i="29"/>
  <c r="H23" i="29"/>
  <c r="I12" i="29"/>
  <c r="G23" i="29"/>
  <c r="F23" i="29"/>
  <c r="F18" i="29"/>
  <c r="F16" i="29"/>
  <c r="G16" i="29" s="1"/>
  <c r="F10" i="29"/>
  <c r="G10" i="29" s="1"/>
  <c r="F8" i="29"/>
  <c r="G8" i="29" s="1"/>
  <c r="D11" i="29"/>
  <c r="J28" i="27"/>
  <c r="S23" i="27"/>
  <c r="R23" i="27"/>
  <c r="N23" i="27"/>
  <c r="L23" i="27"/>
  <c r="F28" i="27"/>
  <c r="E28" i="27"/>
  <c r="D28" i="27"/>
  <c r="F22" i="27" l="1"/>
  <c r="F9" i="27" l="1"/>
  <c r="S19" i="27" l="1"/>
  <c r="N19" i="27"/>
  <c r="P19" i="27" s="1"/>
  <c r="F19" i="27"/>
  <c r="G16" i="27"/>
  <c r="K15" i="27"/>
  <c r="N10" i="27"/>
  <c r="I10" i="29" s="1"/>
  <c r="O11" i="27"/>
  <c r="K10" i="27"/>
  <c r="F10" i="27"/>
  <c r="E10" i="29" s="1"/>
  <c r="E8" i="29"/>
  <c r="K21" i="27" l="1"/>
  <c r="O8" i="27"/>
  <c r="K8" i="27"/>
  <c r="G10" i="27"/>
  <c r="G11" i="27"/>
  <c r="G8" i="27"/>
  <c r="S24" i="27" l="1"/>
  <c r="Q24" i="27"/>
  <c r="G19" i="27" l="1"/>
  <c r="G26" i="27"/>
  <c r="I9" i="29"/>
  <c r="H11" i="29"/>
  <c r="I18" i="29"/>
  <c r="I19" i="29" s="1"/>
  <c r="H21" i="29"/>
  <c r="E16" i="29"/>
  <c r="E18" i="29"/>
  <c r="G19" i="29" l="1"/>
  <c r="H8" i="29"/>
  <c r="I8" i="29" s="1"/>
  <c r="G12" i="29"/>
  <c r="E17" i="29" l="1"/>
  <c r="E19" i="29" s="1"/>
  <c r="E9" i="29"/>
  <c r="D21" i="29"/>
  <c r="E12" i="29" l="1"/>
  <c r="E23" i="29" s="1"/>
  <c r="H8" i="30" l="1"/>
  <c r="E9" i="30"/>
  <c r="H9" i="30" l="1"/>
  <c r="I9" i="30" s="1"/>
  <c r="D8" i="30"/>
  <c r="N12" i="27" l="1"/>
  <c r="N17" i="27"/>
  <c r="O23" i="27" l="1"/>
  <c r="O19" i="27"/>
  <c r="O16" i="27"/>
  <c r="O15" i="27"/>
  <c r="O10" i="27"/>
  <c r="K26" i="27"/>
  <c r="K23" i="27"/>
  <c r="K19" i="27"/>
  <c r="K16" i="27"/>
  <c r="K11" i="27"/>
  <c r="G23" i="27"/>
  <c r="G21" i="27"/>
  <c r="G15" i="27"/>
  <c r="E12" i="27"/>
  <c r="P23" i="27" l="1"/>
  <c r="P26" i="27"/>
  <c r="S17" i="27"/>
  <c r="S12" i="27"/>
  <c r="R17" i="27"/>
  <c r="P16" i="27"/>
  <c r="P15" i="27"/>
  <c r="P10" i="27"/>
  <c r="P11" i="27"/>
  <c r="P8" i="27"/>
  <c r="P9" i="27"/>
  <c r="S28" i="27" l="1"/>
  <c r="H13" i="31" l="1"/>
  <c r="F13" i="31"/>
  <c r="E11" i="31"/>
  <c r="E10" i="31"/>
  <c r="E9" i="31"/>
  <c r="I12" i="31" l="1"/>
  <c r="F12" i="31"/>
  <c r="H12" i="31"/>
  <c r="E12" i="31"/>
  <c r="J11" i="31" l="1"/>
  <c r="J10" i="31"/>
  <c r="J9" i="31"/>
  <c r="J8" i="31"/>
  <c r="J7" i="31"/>
  <c r="J6" i="31"/>
  <c r="J5" i="31"/>
  <c r="J4" i="31"/>
  <c r="K11" i="31" l="1"/>
  <c r="H11" i="31"/>
  <c r="G11" i="31"/>
  <c r="F11" i="31"/>
  <c r="K10" i="31"/>
  <c r="G10" i="31"/>
  <c r="F10" i="31"/>
  <c r="K9" i="31"/>
  <c r="H9" i="31"/>
  <c r="G9" i="31"/>
  <c r="F9" i="31"/>
  <c r="K8" i="31"/>
  <c r="G8" i="31"/>
  <c r="F8" i="31"/>
  <c r="K7" i="31"/>
  <c r="G7" i="31"/>
  <c r="F7" i="31"/>
  <c r="K6" i="31"/>
  <c r="G6" i="31"/>
  <c r="F6" i="31"/>
  <c r="K5" i="31"/>
  <c r="G5" i="31"/>
  <c r="F5" i="31"/>
  <c r="K4" i="31"/>
  <c r="G4" i="31"/>
  <c r="F4" i="31"/>
  <c r="H10" i="31" l="1"/>
  <c r="H8" i="31" l="1"/>
  <c r="H6" i="31"/>
  <c r="H5" i="31"/>
  <c r="J24" i="27"/>
  <c r="I4" i="31" l="1"/>
  <c r="H4" i="31"/>
  <c r="J17" i="27"/>
  <c r="H7" i="31"/>
  <c r="J12" i="27"/>
  <c r="I11" i="31" l="1"/>
  <c r="I10" i="31"/>
  <c r="I9" i="31"/>
  <c r="I8" i="31"/>
  <c r="I7" i="31"/>
  <c r="I16" i="30" l="1"/>
  <c r="H16" i="30"/>
  <c r="G16" i="30"/>
  <c r="F16" i="30"/>
  <c r="E16" i="30"/>
  <c r="G10" i="30"/>
  <c r="I10" i="30"/>
  <c r="I19" i="30" s="1"/>
  <c r="H10" i="30"/>
  <c r="H19" i="30" s="1"/>
  <c r="F10" i="30"/>
  <c r="E10" i="30"/>
  <c r="E19" i="30" s="1"/>
  <c r="D16" i="30"/>
  <c r="D10" i="30"/>
  <c r="D19" i="30" s="1"/>
  <c r="H19" i="29" l="1"/>
  <c r="F19" i="29"/>
  <c r="D19" i="29"/>
  <c r="H12" i="29"/>
  <c r="F12" i="29"/>
  <c r="D12" i="29"/>
  <c r="D23" i="29" s="1"/>
  <c r="E24" i="27"/>
  <c r="H24" i="27"/>
  <c r="I24" i="27"/>
  <c r="L24" i="27"/>
  <c r="M24" i="27"/>
  <c r="M28" i="27" s="1"/>
  <c r="N24" i="27"/>
  <c r="N28" i="27" s="1"/>
  <c r="P24" i="27"/>
  <c r="R24" i="27"/>
  <c r="D24" i="27"/>
  <c r="E17" i="27"/>
  <c r="H17" i="27"/>
  <c r="I17" i="27"/>
  <c r="L17" i="27"/>
  <c r="M17" i="27"/>
  <c r="P17" i="27"/>
  <c r="Q17" i="27"/>
  <c r="D17" i="27"/>
  <c r="E7" i="31"/>
  <c r="H12" i="27"/>
  <c r="I12" i="27"/>
  <c r="L12" i="27"/>
  <c r="M12" i="27"/>
  <c r="P12" i="27"/>
  <c r="Q12" i="27"/>
  <c r="R12" i="27"/>
  <c r="D12" i="27"/>
  <c r="E4" i="31"/>
  <c r="R28" i="27" l="1"/>
  <c r="Q28" i="27"/>
  <c r="H28" i="27"/>
  <c r="O28" i="27"/>
  <c r="I28" i="27"/>
  <c r="P28" i="27"/>
  <c r="L28" i="27"/>
  <c r="O24" i="27"/>
  <c r="O17" i="27"/>
  <c r="K17" i="27"/>
  <c r="K28" i="27"/>
  <c r="E5" i="31"/>
  <c r="E8" i="31"/>
  <c r="E6" i="31"/>
  <c r="I5" i="31"/>
  <c r="I6" i="31"/>
  <c r="F17" i="27"/>
  <c r="F24" i="27"/>
  <c r="G24" i="27" s="1"/>
  <c r="K24" i="27"/>
  <c r="F12" i="27"/>
  <c r="G28" i="27" l="1"/>
  <c r="G17" i="27"/>
  <c r="G12" i="27"/>
  <c r="K12" i="27"/>
</calcChain>
</file>

<file path=xl/comments1.xml><?xml version="1.0" encoding="utf-8"?>
<comments xmlns="http://schemas.openxmlformats.org/spreadsheetml/2006/main">
  <authors>
    <author>Madnick, Philip</author>
  </authors>
  <commentList>
    <comment ref="F22" authorId="0" shapeId="0">
      <text>
        <r>
          <rPr>
            <b/>
            <sz val="9"/>
            <color indexed="81"/>
            <rFont val="Tahoma"/>
            <family val="2"/>
          </rPr>
          <t>Madnick, Philip:</t>
        </r>
        <r>
          <rPr>
            <sz val="9"/>
            <color indexed="81"/>
            <rFont val="Tahoma"/>
            <family val="2"/>
          </rPr>
          <t xml:space="preserve">
1,725 customers already enrolled from PY23</t>
        </r>
      </text>
    </comment>
  </commentList>
</comments>
</file>

<file path=xl/sharedStrings.xml><?xml version="1.0" encoding="utf-8"?>
<sst xmlns="http://schemas.openxmlformats.org/spreadsheetml/2006/main" count="275" uniqueCount="135">
  <si>
    <t>Quarter</t>
  </si>
  <si>
    <t>Clean Heat Beneficial Electrification</t>
  </si>
  <si>
    <t>Comfort Partners</t>
  </si>
  <si>
    <t>Residential</t>
  </si>
  <si>
    <t>Peak Demand Reduction</t>
  </si>
  <si>
    <t>NA</t>
  </si>
  <si>
    <t>Participation</t>
  </si>
  <si>
    <t>Multi-Family</t>
  </si>
  <si>
    <t>Energy Efficiency and PDR Savings Summary</t>
  </si>
  <si>
    <t>For Period Ending PY24Q2</t>
  </si>
  <si>
    <t xml:space="preserve"> </t>
  </si>
  <si>
    <t>Actual Expenditures</t>
  </si>
  <si>
    <t>Ex Ante Energy Savings</t>
  </si>
  <si>
    <t>A</t>
  </si>
  <si>
    <t>B</t>
  </si>
  <si>
    <t>C</t>
  </si>
  <si>
    <t>D=C/B</t>
  </si>
  <si>
    <t>E</t>
  </si>
  <si>
    <t>F</t>
  </si>
  <si>
    <t>G</t>
  </si>
  <si>
    <t>H=G/F</t>
  </si>
  <si>
    <t>I</t>
  </si>
  <si>
    <t>J</t>
  </si>
  <si>
    <t>K</t>
  </si>
  <si>
    <t>L=K/J</t>
  </si>
  <si>
    <t>M</t>
  </si>
  <si>
    <t>N</t>
  </si>
  <si>
    <t>O</t>
  </si>
  <si>
    <t>P</t>
  </si>
  <si>
    <t>Annual Forecasted Participation Number</t>
  </si>
  <si>
    <t>YTD Reported Participation Number</t>
  </si>
  <si>
    <t>YTD % of Annual Participants</t>
  </si>
  <si>
    <t>Quarter ($000)</t>
  </si>
  <si>
    <r>
      <t>Annual Forecasted Program Costs ($000)</t>
    </r>
    <r>
      <rPr>
        <vertAlign val="superscript"/>
        <sz val="9"/>
        <color rgb="FFFFFFFF"/>
        <rFont val="Calibri"/>
        <family val="2"/>
        <scheme val="minor"/>
      </rPr>
      <t>1</t>
    </r>
  </si>
  <si>
    <t>YTD Reported Program Costs ($000)</t>
  </si>
  <si>
    <t>YTD % of Annual Budget</t>
  </si>
  <si>
    <t>Quarter Annual Retail Energy Savings (MWh)</t>
  </si>
  <si>
    <t>Annual Forecasted Retail Energy Savings (MWh)</t>
  </si>
  <si>
    <t>YTD Reported Retail Energy Savings (MWh)</t>
  </si>
  <si>
    <t>YTD % of Annual Energy Savings</t>
  </si>
  <si>
    <r>
      <t>Reported Wholesale Energy Savings</t>
    </r>
    <r>
      <rPr>
        <vertAlign val="superscript"/>
        <sz val="9"/>
        <color rgb="FFFFFFFF"/>
        <rFont val="Calibri"/>
        <family val="2"/>
        <scheme val="minor"/>
      </rPr>
      <t>2</t>
    </r>
    <r>
      <rPr>
        <sz val="9"/>
        <color indexed="9"/>
        <rFont val="Calibri"/>
        <family val="2"/>
        <scheme val="minor"/>
      </rPr>
      <t xml:space="preserve"> (MWh)</t>
    </r>
  </si>
  <si>
    <t>YTD Peak Demand Savings (MW)</t>
  </si>
  <si>
    <t>Quarter Lifetime Savings (MWh)</t>
  </si>
  <si>
    <t>YTD Lifetime Savings (MWh)</t>
  </si>
  <si>
    <t>Residential Programs</t>
  </si>
  <si>
    <t>Sub Program</t>
  </si>
  <si>
    <t>Efficient Products*</t>
  </si>
  <si>
    <t>Appliance Recycling/Rebate, Retail Lighting, Marketplace, Midstream HVAC</t>
  </si>
  <si>
    <t>Behavioral</t>
  </si>
  <si>
    <t>Existing Homes*</t>
  </si>
  <si>
    <t>Home Performance with Energy Star, Quick Home Energy Check</t>
  </si>
  <si>
    <t>Moderate Income Weatherization</t>
  </si>
  <si>
    <t>Total Residential</t>
  </si>
  <si>
    <t>Business Programs</t>
  </si>
  <si>
    <t>Sub-Program</t>
  </si>
  <si>
    <t>C&amp;I Direct Install*</t>
  </si>
  <si>
    <t>N/A</t>
  </si>
  <si>
    <t>C&amp;I Rebate Program*</t>
  </si>
  <si>
    <t>Prescriptive/Custom, Energy Management, Engineered Solutions, Midstream Lighting/HVAC</t>
  </si>
  <si>
    <t>Total Business</t>
  </si>
  <si>
    <t>Multi-Family*</t>
  </si>
  <si>
    <t>Pilot Programs</t>
  </si>
  <si>
    <t>Bring Your Own Thermostat, Commercial System Relief Program</t>
  </si>
  <si>
    <t>Behavioral DR</t>
  </si>
  <si>
    <t>Clean Heat Beneficial Electrification**</t>
  </si>
  <si>
    <t>Total Pilot</t>
  </si>
  <si>
    <t>NJCEP Comfort Partners***</t>
  </si>
  <si>
    <t>Supportive Costs Outside Portfolio****</t>
  </si>
  <si>
    <t>Portfolio Total</t>
  </si>
  <si>
    <r>
      <rPr>
        <vertAlign val="superscript"/>
        <sz val="11"/>
        <rFont val="Calibri"/>
        <family val="2"/>
        <scheme val="minor"/>
      </rPr>
      <t>1</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</si>
  <si>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t xml:space="preserve">2 </t>
    </r>
    <r>
      <rPr>
        <sz val="11"/>
        <color rgb="FF000000"/>
        <rFont val="Times New Roman"/>
        <family val="1"/>
      </rPr>
      <t>Wholesale savings at the gross wholesale level include retail savings plus marginal line losses, using approved line loss factor in utility’s tariff grossed up by 1.5, per the Avoided Cost Methodology in the NJ Cost Test.</t>
    </r>
  </si>
  <si>
    <t>* Denotes a core EE program. Home Performance with Energy Star only includes non-LMI; the comparable program for LMI participants is Comfort Partners, which is jointly administered by the State and Utilities.</t>
  </si>
  <si>
    <t>** Savings are in captured in MMBtu and converted to MWh here</t>
  </si>
  <si>
    <t>***NJ Comfort Partners savings is a preliminary estimate due to recently transitioning the data system of record, and subject to change based on further calculations. Savings true-up anticipated in future reporting periods.</t>
  </si>
  <si>
    <t>****Supportive Costs include the Statewide Coordinator</t>
  </si>
  <si>
    <t xml:space="preserve">  </t>
  </si>
  <si>
    <t>Incentive Expenditures (Customer Rebates and Low/no-cost financing)</t>
  </si>
  <si>
    <t>D</t>
  </si>
  <si>
    <t>YTD Reported Incentive Costs ($000)</t>
  </si>
  <si>
    <t>LMI</t>
  </si>
  <si>
    <t>Non-LMI or Unverified</t>
  </si>
  <si>
    <t>Efficient Products</t>
  </si>
  <si>
    <t>Existing Homes</t>
  </si>
  <si>
    <t>NJCEP Comfort Partners</t>
  </si>
  <si>
    <t>Supportive Costs Outside Portfolio</t>
  </si>
  <si>
    <t>Small Commercial</t>
  </si>
  <si>
    <t>Large Commercial</t>
  </si>
  <si>
    <t>C&amp;I Direct Install</t>
  </si>
  <si>
    <t>C&amp;I Rebate Program</t>
  </si>
  <si>
    <t>RECO</t>
  </si>
  <si>
    <t>Program</t>
  </si>
  <si>
    <t>Reporting Period</t>
  </si>
  <si>
    <t>FY22-Q4</t>
  </si>
  <si>
    <t>Program/Utility Information</t>
  </si>
  <si>
    <t>Participants</t>
  </si>
  <si>
    <r>
      <t xml:space="preserve">Budget &amp; Expenses </t>
    </r>
    <r>
      <rPr>
        <b/>
        <sz val="11"/>
        <color theme="1"/>
        <rFont val="Calibri"/>
        <family val="2"/>
        <scheme val="minor"/>
      </rPr>
      <t>($000)</t>
    </r>
  </si>
  <si>
    <t>Energy Savings</t>
  </si>
  <si>
    <t>Utility</t>
  </si>
  <si>
    <t>Sector</t>
  </si>
  <si>
    <t>Annual Budget</t>
  </si>
  <si>
    <t>YTD Reported Incentive Costs</t>
  </si>
  <si>
    <t>YTD Reported Program Costs</t>
  </si>
  <si>
    <t>YTD Annual Electric Savings
(MWh)</t>
  </si>
  <si>
    <t>YTD Lifetime Electric Savings
(MWh)</t>
  </si>
  <si>
    <t>YTD Peak Demand Electric Savings
(MW)</t>
  </si>
  <si>
    <t>YTD Annual Gas Savings
(Dtherm)</t>
  </si>
  <si>
    <t>YTD Lifetime Gas Savings
(Dtherm)</t>
  </si>
  <si>
    <t>Behavioral EE, Midstream, Marketplace, HVAC</t>
  </si>
  <si>
    <t>HPwES</t>
  </si>
  <si>
    <t>Commercial</t>
  </si>
  <si>
    <t>Direct Install</t>
  </si>
  <si>
    <t>Energy Solutions for Business</t>
  </si>
  <si>
    <t>Prescriptive/Custom, Energy Management, Engineered Solutions</t>
  </si>
  <si>
    <t xml:space="preserve">Pilot Program </t>
  </si>
  <si>
    <t>Bring Your Own Thermostat, Commercial System Relief Program, Behavioral DR</t>
  </si>
  <si>
    <t>Prescriptive/Custom</t>
  </si>
  <si>
    <t>Program Manager</t>
  </si>
  <si>
    <t>ACE</t>
  </si>
  <si>
    <t>ETG</t>
  </si>
  <si>
    <t>JCPL</t>
  </si>
  <si>
    <t>NJNG</t>
  </si>
  <si>
    <t>PSEG</t>
  </si>
  <si>
    <t>SJG</t>
  </si>
  <si>
    <t>Reporting Quarter &amp; Year</t>
  </si>
  <si>
    <t>FY22-Q1</t>
  </si>
  <si>
    <t>FY22-Q2</t>
  </si>
  <si>
    <t>FY22-Q3</t>
  </si>
  <si>
    <t>FY23-Q1</t>
  </si>
  <si>
    <t>FY23-Q2</t>
  </si>
  <si>
    <t>FY23-Q3</t>
  </si>
  <si>
    <t>FY23-Q4</t>
  </si>
  <si>
    <t>FY24-Q1</t>
  </si>
  <si>
    <t>FY24-Q2</t>
  </si>
  <si>
    <t>FY24-Q3</t>
  </si>
  <si>
    <t>FY24-Q4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</si>
</sst>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
    <numFmt numFmtId="171" formatCode="&quot;$&quot;#,##0.000"/>
    <numFmt numFmtId="173" formatCode="&quot;$&quot;#,##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sz val="10"/>
      <name val="Arial"/>
      <family val="2"/>
    </font>
    <font>
      <sz val="11"/>
      <color theme="1"/>
      <name val="Arial"/>
      <family val="2"/>
    </font>
    <font>
      <vertAlign val="superscript"/>
      <sz val="11"/>
      <color rgb="FF000000"/>
      <name val="Times New Roman"/>
      <family val="1"/>
    </font>
    <font>
      <sz val="11"/>
      <color rgb="FF000000"/>
      <name val="Times New Roman"/>
      <family val="1"/>
    </font>
    <font>
      <sz val="9"/>
      <color indexed="81"/>
      <name val="Tahoma"/>
      <family val="2"/>
    </font>
    <font>
      <b/>
      <sz val="9"/>
      <color indexed="81"/>
      <name val="Tahoma"/>
      <family val="2"/>
    </font>
  </fonts>
  <fills count="19">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s>
  <borders count="59">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13" fillId="0" borderId="0"/>
  </cellStyleXfs>
  <cellXfs count="326">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0" fillId="5" borderId="17" xfId="0" applyFill="1" applyBorder="1"/>
    <xf numFmtId="0" fontId="3" fillId="3" borderId="17" xfId="0" applyFont="1" applyFill="1" applyBorder="1"/>
    <xf numFmtId="0" fontId="3" fillId="3" borderId="15" xfId="0" applyFont="1" applyFill="1" applyBorder="1"/>
    <xf numFmtId="0" fontId="2" fillId="0" borderId="0" xfId="0" applyFont="1"/>
    <xf numFmtId="165" fontId="2" fillId="0" borderId="0" xfId="2" applyNumberFormat="1" applyFont="1"/>
    <xf numFmtId="164" fontId="2" fillId="0" borderId="0" xfId="1" applyNumberFormat="1" applyFont="1"/>
    <xf numFmtId="0" fontId="7" fillId="2" borderId="9" xfId="0" applyFont="1" applyFill="1" applyBorder="1" applyAlignment="1">
      <alignment horizontal="center" vertical="center" wrapText="1"/>
    </xf>
    <xf numFmtId="0" fontId="0" fillId="0" borderId="15" xfId="0" applyBorder="1"/>
    <xf numFmtId="0" fontId="7" fillId="2" borderId="7" xfId="0" applyFont="1" applyFill="1" applyBorder="1" applyAlignment="1">
      <alignment horizontal="center" vertical="center" wrapText="1"/>
    </xf>
    <xf numFmtId="0" fontId="3" fillId="3" borderId="31" xfId="0" applyFont="1" applyFill="1" applyBorder="1"/>
    <xf numFmtId="164" fontId="3" fillId="3" borderId="33" xfId="1" applyNumberFormat="1" applyFont="1" applyFill="1" applyBorder="1" applyAlignment="1"/>
    <xf numFmtId="0" fontId="10" fillId="0" borderId="0" xfId="0" applyFont="1"/>
    <xf numFmtId="0" fontId="7" fillId="2" borderId="37" xfId="0"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7" fillId="7" borderId="37" xfId="0" applyFont="1" applyFill="1" applyBorder="1" applyAlignment="1">
      <alignment horizontal="center" vertical="center" wrapText="1"/>
    </xf>
    <xf numFmtId="0" fontId="7" fillId="7" borderId="7" xfId="0" applyFont="1" applyFill="1" applyBorder="1" applyAlignment="1">
      <alignment horizontal="center" vertical="center" wrapText="1"/>
    </xf>
    <xf numFmtId="164" fontId="7" fillId="7" borderId="11" xfId="1" applyNumberFormat="1"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8" xfId="0" applyFont="1" applyFill="1" applyBorder="1" applyAlignment="1">
      <alignment horizontal="center" vertical="center" wrapText="1"/>
    </xf>
    <xf numFmtId="164" fontId="3" fillId="3" borderId="39" xfId="1" applyNumberFormat="1" applyFont="1" applyFill="1" applyBorder="1" applyAlignment="1"/>
    <xf numFmtId="0" fontId="3" fillId="3" borderId="28" xfId="0" applyFont="1" applyFill="1" applyBorder="1"/>
    <xf numFmtId="0" fontId="3" fillId="3" borderId="40"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3" fillId="3" borderId="42" xfId="0" applyFont="1" applyFill="1" applyBorder="1"/>
    <xf numFmtId="0" fontId="3" fillId="3" borderId="44" xfId="0" applyFont="1" applyFill="1" applyBorder="1"/>
    <xf numFmtId="0" fontId="3" fillId="3" borderId="46" xfId="0" applyFont="1" applyFill="1" applyBorder="1"/>
    <xf numFmtId="0" fontId="7" fillId="2" borderId="18"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0" fillId="0" borderId="16" xfId="0" applyBorder="1" applyAlignment="1">
      <alignment horizontal="center" vertical="center"/>
    </xf>
    <xf numFmtId="0" fontId="7" fillId="7" borderId="18"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41"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0" fillId="5" borderId="0" xfId="0" applyFill="1"/>
    <xf numFmtId="164" fontId="3" fillId="5" borderId="0" xfId="1" applyNumberFormat="1" applyFont="1" applyFill="1" applyBorder="1" applyAlignment="1"/>
    <xf numFmtId="165" fontId="3" fillId="5" borderId="0" xfId="2" applyNumberFormat="1" applyFont="1" applyFill="1" applyBorder="1" applyAlignment="1"/>
    <xf numFmtId="164" fontId="0" fillId="5" borderId="0" xfId="1" applyNumberFormat="1" applyFont="1" applyFill="1" applyBorder="1" applyAlignment="1">
      <alignment horizontal="right"/>
    </xf>
    <xf numFmtId="165" fontId="0" fillId="5" borderId="0" xfId="2" applyNumberFormat="1" applyFont="1" applyFill="1" applyBorder="1"/>
    <xf numFmtId="164" fontId="0" fillId="5" borderId="0" xfId="1" applyNumberFormat="1" applyFont="1" applyFill="1" applyBorder="1"/>
    <xf numFmtId="0" fontId="6" fillId="2" borderId="49" xfId="0" applyFont="1" applyFill="1" applyBorder="1" applyAlignment="1">
      <alignment horizontal="center" vertical="center" wrapText="1"/>
    </xf>
    <xf numFmtId="0" fontId="0" fillId="5" borderId="15" xfId="0" applyFill="1" applyBorder="1"/>
    <xf numFmtId="0" fontId="0" fillId="0" borderId="15" xfId="0" applyBorder="1" applyAlignment="1">
      <alignment horizontal="left" vertical="center" wrapText="1"/>
    </xf>
    <xf numFmtId="9" fontId="0" fillId="0" borderId="0" xfId="0" applyNumberFormat="1"/>
    <xf numFmtId="0" fontId="0" fillId="2" borderId="15" xfId="0" applyFill="1" applyBorder="1" applyAlignment="1">
      <alignment vertical="center" wrapText="1"/>
    </xf>
    <xf numFmtId="0" fontId="0" fillId="5" borderId="15" xfId="0" applyFill="1" applyBorder="1" applyAlignment="1">
      <alignment horizontal="left" vertical="center" wrapText="1"/>
    </xf>
    <xf numFmtId="0" fontId="0" fillId="2" borderId="17" xfId="0" applyFill="1" applyBorder="1" applyAlignment="1">
      <alignment vertical="center" wrapText="1"/>
    </xf>
    <xf numFmtId="0" fontId="0" fillId="5" borderId="17" xfId="0" applyFill="1" applyBorder="1" applyAlignment="1">
      <alignment horizontal="left" vertical="center"/>
    </xf>
    <xf numFmtId="164" fontId="7" fillId="2" borderId="12" xfId="1" applyNumberFormat="1" applyFont="1" applyFill="1" applyBorder="1" applyAlignment="1">
      <alignment horizontal="center" vertical="center" wrapText="1"/>
    </xf>
    <xf numFmtId="0" fontId="0" fillId="0" borderId="15" xfId="0" applyBorder="1" applyAlignment="1">
      <alignment horizontal="center" vertical="center"/>
    </xf>
    <xf numFmtId="0" fontId="6" fillId="2" borderId="28"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3" fillId="3" borderId="5" xfId="0" applyFont="1" applyFill="1" applyBorder="1"/>
    <xf numFmtId="0" fontId="3" fillId="3" borderId="7" xfId="0" applyFont="1" applyFill="1" applyBorder="1"/>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8" borderId="17" xfId="0" applyFont="1" applyFill="1" applyBorder="1"/>
    <xf numFmtId="0" fontId="0" fillId="0" borderId="17" xfId="0" applyBorder="1" applyAlignment="1">
      <alignment horizontal="left" vertical="center" wrapText="1"/>
    </xf>
    <xf numFmtId="0" fontId="6" fillId="7" borderId="1" xfId="0" applyFont="1" applyFill="1" applyBorder="1" applyAlignment="1">
      <alignment horizontal="center" vertical="center" wrapText="1"/>
    </xf>
    <xf numFmtId="0" fontId="0" fillId="0" borderId="20" xfId="0" applyBorder="1" applyAlignment="1">
      <alignment horizontal="center" vertical="center"/>
    </xf>
    <xf numFmtId="0" fontId="3" fillId="3" borderId="2" xfId="0" applyFont="1" applyFill="1" applyBorder="1"/>
    <xf numFmtId="0" fontId="3" fillId="3" borderId="50" xfId="0" applyFont="1" applyFill="1" applyBorder="1"/>
    <xf numFmtId="0" fontId="3" fillId="3" borderId="2" xfId="0"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0" fillId="9" borderId="27" xfId="0" applyFill="1" applyBorder="1" applyAlignment="1" applyProtection="1">
      <alignment horizontal="center" vertical="center"/>
      <protection hidden="1"/>
    </xf>
    <xf numFmtId="0" fontId="0" fillId="10" borderId="15" xfId="0" applyFill="1" applyBorder="1" applyAlignment="1" applyProtection="1">
      <alignment horizontal="center" vertical="center" wrapText="1"/>
      <protection hidden="1"/>
    </xf>
    <xf numFmtId="0" fontId="0" fillId="13" borderId="15" xfId="0" applyFill="1" applyBorder="1" applyAlignment="1" applyProtection="1">
      <alignment horizontal="center" vertical="center"/>
      <protection hidden="1"/>
    </xf>
    <xf numFmtId="0" fontId="10" fillId="13" borderId="15" xfId="0" applyFont="1" applyFill="1" applyBorder="1" applyAlignment="1" applyProtection="1">
      <alignment horizontal="center" vertical="center"/>
      <protection hidden="1"/>
    </xf>
    <xf numFmtId="0" fontId="10" fillId="13" borderId="25" xfId="0" applyFont="1" applyFill="1" applyBorder="1" applyAlignment="1" applyProtection="1">
      <alignment horizontal="center" vertical="center"/>
      <protection hidden="1"/>
    </xf>
    <xf numFmtId="0" fontId="0" fillId="14" borderId="15" xfId="0" applyFill="1" applyBorder="1" applyAlignment="1" applyProtection="1">
      <alignment horizontal="center" vertical="center" wrapText="1"/>
      <protection hidden="1"/>
    </xf>
    <xf numFmtId="44" fontId="0" fillId="15" borderId="15" xfId="0" applyNumberFormat="1" applyFill="1" applyBorder="1" applyAlignment="1" applyProtection="1">
      <alignment horizontal="center" vertical="center" wrapText="1"/>
      <protection hidden="1"/>
    </xf>
    <xf numFmtId="0" fontId="10" fillId="16" borderId="15" xfId="0" applyFont="1" applyFill="1" applyBorder="1" applyAlignment="1" applyProtection="1">
      <alignment horizontal="center" vertical="center" wrapText="1"/>
      <protection hidden="1"/>
    </xf>
    <xf numFmtId="0" fontId="0" fillId="16" borderId="15" xfId="0" applyFill="1" applyBorder="1" applyAlignment="1" applyProtection="1">
      <alignment horizontal="center" vertical="center" wrapText="1"/>
      <protection hidden="1"/>
    </xf>
    <xf numFmtId="0" fontId="0" fillId="0" borderId="15" xfId="0" applyBorder="1" applyProtection="1">
      <protection hidden="1"/>
    </xf>
    <xf numFmtId="0" fontId="0" fillId="0" borderId="30" xfId="0" applyBorder="1" applyProtection="1">
      <protection hidden="1"/>
    </xf>
    <xf numFmtId="0" fontId="0" fillId="0" borderId="27" xfId="0" applyBorder="1" applyProtection="1">
      <protection hidden="1"/>
    </xf>
    <xf numFmtId="44" fontId="0" fillId="0" borderId="15" xfId="2" applyFont="1" applyBorder="1" applyProtection="1">
      <protection hidden="1"/>
    </xf>
    <xf numFmtId="44" fontId="0" fillId="0" borderId="15" xfId="2" applyFont="1" applyBorder="1" applyProtection="1">
      <protection locked="0"/>
    </xf>
    <xf numFmtId="166" fontId="0" fillId="0" borderId="15" xfId="0" applyNumberFormat="1" applyBorder="1"/>
    <xf numFmtId="0" fontId="12" fillId="17" borderId="15" xfId="5" applyFont="1" applyFill="1" applyBorder="1" applyAlignment="1">
      <alignment horizontal="center"/>
    </xf>
    <xf numFmtId="49" fontId="0" fillId="0" borderId="15" xfId="0" applyNumberFormat="1" applyBorder="1"/>
    <xf numFmtId="0" fontId="12" fillId="17" borderId="25" xfId="5" applyFont="1" applyFill="1" applyBorder="1" applyAlignment="1">
      <alignment horizontal="center"/>
    </xf>
    <xf numFmtId="0" fontId="8" fillId="0" borderId="15" xfId="5" applyBorder="1"/>
    <xf numFmtId="3" fontId="0" fillId="0" borderId="27" xfId="0" applyNumberFormat="1" applyBorder="1" applyProtection="1">
      <protection hidden="1"/>
    </xf>
    <xf numFmtId="2" fontId="0" fillId="0" borderId="15" xfId="0" applyNumberFormat="1" applyBorder="1"/>
    <xf numFmtId="164" fontId="7" fillId="2" borderId="13" xfId="1" applyNumberFormat="1" applyFont="1" applyFill="1" applyBorder="1" applyAlignment="1">
      <alignment horizontal="center" vertical="center" wrapText="1"/>
    </xf>
    <xf numFmtId="0" fontId="0" fillId="2" borderId="30" xfId="0" applyFill="1" applyBorder="1" applyAlignment="1">
      <alignment vertical="center" wrapText="1"/>
    </xf>
    <xf numFmtId="0" fontId="3" fillId="3" borderId="30" xfId="0" applyFont="1" applyFill="1" applyBorder="1"/>
    <xf numFmtId="0" fontId="3" fillId="3" borderId="36" xfId="0" applyFont="1" applyFill="1" applyBorder="1"/>
    <xf numFmtId="0" fontId="7" fillId="2" borderId="6" xfId="0" applyFont="1" applyFill="1" applyBorder="1" applyAlignment="1">
      <alignment horizontal="center" vertical="center" wrapText="1"/>
    </xf>
    <xf numFmtId="44" fontId="0" fillId="0" borderId="15" xfId="2" applyFont="1" applyFill="1" applyBorder="1" applyProtection="1">
      <protection hidden="1"/>
    </xf>
    <xf numFmtId="0" fontId="3" fillId="0" borderId="27" xfId="0" applyFont="1" applyBorder="1" applyProtection="1">
      <protection hidden="1"/>
    </xf>
    <xf numFmtId="0" fontId="14" fillId="0" borderId="0" xfId="0" applyFont="1" applyAlignment="1">
      <alignment vertical="center"/>
    </xf>
    <xf numFmtId="167" fontId="0" fillId="0" borderId="0" xfId="0" applyNumberFormat="1"/>
    <xf numFmtId="43" fontId="3" fillId="5" borderId="0" xfId="1" applyFont="1" applyFill="1" applyBorder="1" applyAlignment="1"/>
    <xf numFmtId="43" fontId="3" fillId="0" borderId="0" xfId="1" applyFont="1" applyFill="1" applyBorder="1" applyAlignment="1"/>
    <xf numFmtId="43" fontId="0" fillId="0" borderId="0" xfId="0" applyNumberFormat="1" applyAlignment="1">
      <alignment vertical="center" wrapText="1"/>
    </xf>
    <xf numFmtId="43" fontId="0" fillId="0" borderId="0" xfId="1" applyFont="1" applyFill="1" applyBorder="1" applyAlignment="1">
      <alignment horizontal="right"/>
    </xf>
    <xf numFmtId="44" fontId="0" fillId="0" borderId="0" xfId="0" applyNumberFormat="1"/>
    <xf numFmtId="0" fontId="0" fillId="0" borderId="30" xfId="0" applyBorder="1" applyAlignment="1">
      <alignment horizontal="left" vertical="center" wrapText="1"/>
    </xf>
    <xf numFmtId="0" fontId="0" fillId="0" borderId="30" xfId="0" applyBorder="1"/>
    <xf numFmtId="0" fontId="0" fillId="5" borderId="29" xfId="0" applyFill="1" applyBorder="1"/>
    <xf numFmtId="0" fontId="0" fillId="5" borderId="54" xfId="0" applyFill="1" applyBorder="1"/>
    <xf numFmtId="3" fontId="0" fillId="0" borderId="20" xfId="0" applyNumberFormat="1" applyBorder="1" applyAlignment="1">
      <alignment horizontal="center" vertical="center"/>
    </xf>
    <xf numFmtId="3" fontId="10" fillId="0" borderId="15" xfId="0" applyNumberFormat="1" applyFont="1" applyBorder="1" applyAlignment="1">
      <alignment horizontal="center" vertical="center"/>
    </xf>
    <xf numFmtId="3" fontId="0" fillId="0" borderId="16" xfId="0" applyNumberFormat="1" applyBorder="1" applyAlignment="1">
      <alignment horizontal="center" vertical="center"/>
    </xf>
    <xf numFmtId="3" fontId="0" fillId="0" borderId="21" xfId="0" applyNumberFormat="1" applyBorder="1" applyAlignment="1">
      <alignment horizontal="center" vertical="center"/>
    </xf>
    <xf numFmtId="42" fontId="2" fillId="0" borderId="0" xfId="0" applyNumberFormat="1" applyFont="1"/>
    <xf numFmtId="3" fontId="10" fillId="0" borderId="20" xfId="0" applyNumberFormat="1" applyFont="1" applyBorder="1" applyAlignment="1">
      <alignment horizontal="center" vertical="center"/>
    </xf>
    <xf numFmtId="3" fontId="10" fillId="0" borderId="21" xfId="0" applyNumberFormat="1" applyFont="1" applyBorder="1" applyAlignment="1">
      <alignment horizontal="center" vertical="center"/>
    </xf>
    <xf numFmtId="0" fontId="0" fillId="5" borderId="30" xfId="0" applyFill="1" applyBorder="1" applyAlignment="1">
      <alignment horizontal="left" vertical="center" wrapText="1"/>
    </xf>
    <xf numFmtId="0" fontId="0" fillId="5" borderId="30" xfId="0" applyFill="1" applyBorder="1"/>
    <xf numFmtId="164" fontId="3" fillId="3" borderId="30" xfId="1" applyNumberFormat="1" applyFont="1" applyFill="1" applyBorder="1" applyAlignment="1"/>
    <xf numFmtId="0" fontId="3" fillId="3" borderId="39" xfId="0" applyFont="1" applyFill="1" applyBorder="1"/>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0" fontId="3" fillId="3" borderId="1" xfId="0" applyFont="1" applyFill="1" applyBorder="1"/>
    <xf numFmtId="3" fontId="0" fillId="5" borderId="7" xfId="0" applyNumberFormat="1" applyFill="1" applyBorder="1" applyAlignment="1">
      <alignment horizontal="center"/>
    </xf>
    <xf numFmtId="9" fontId="1" fillId="5" borderId="6" xfId="3" applyFont="1" applyFill="1" applyBorder="1" applyAlignment="1">
      <alignment horizontal="center"/>
    </xf>
    <xf numFmtId="3" fontId="0" fillId="5" borderId="20" xfId="0" applyNumberFormat="1" applyFill="1" applyBorder="1" applyAlignment="1">
      <alignment horizontal="center"/>
    </xf>
    <xf numFmtId="9" fontId="1" fillId="5" borderId="14" xfId="3" applyFont="1" applyFill="1" applyBorder="1" applyAlignment="1">
      <alignment horizontal="center"/>
    </xf>
    <xf numFmtId="3" fontId="0" fillId="5" borderId="15" xfId="0" applyNumberFormat="1" applyFill="1" applyBorder="1" applyAlignment="1">
      <alignment horizontal="center"/>
    </xf>
    <xf numFmtId="9" fontId="1" fillId="5" borderId="16" xfId="3" applyFont="1" applyFill="1" applyBorder="1" applyAlignment="1">
      <alignment horizontal="center"/>
    </xf>
    <xf numFmtId="167" fontId="0" fillId="0" borderId="15" xfId="2" applyNumberFormat="1" applyFont="1" applyBorder="1" applyAlignment="1">
      <alignment horizontal="center" vertical="center"/>
    </xf>
    <xf numFmtId="3" fontId="0" fillId="0" borderId="15" xfId="0" applyNumberFormat="1" applyBorder="1" applyAlignment="1">
      <alignment horizontal="center" vertical="center"/>
    </xf>
    <xf numFmtId="9" fontId="1" fillId="5" borderId="21" xfId="3" applyFont="1" applyFill="1" applyBorder="1" applyAlignment="1">
      <alignment horizontal="center"/>
    </xf>
    <xf numFmtId="3" fontId="3" fillId="3" borderId="17" xfId="0" applyNumberFormat="1" applyFont="1" applyFill="1" applyBorder="1" applyAlignment="1">
      <alignment horizontal="center"/>
    </xf>
    <xf numFmtId="3" fontId="3" fillId="3" borderId="15" xfId="0" applyNumberFormat="1" applyFont="1" applyFill="1" applyBorder="1" applyAlignment="1">
      <alignment horizontal="center"/>
    </xf>
    <xf numFmtId="9" fontId="3" fillId="3" borderId="16" xfId="3" applyFont="1" applyFill="1" applyBorder="1" applyAlignment="1">
      <alignment horizontal="center"/>
    </xf>
    <xf numFmtId="167" fontId="3" fillId="3" borderId="27" xfId="2" applyNumberFormat="1" applyFont="1" applyFill="1" applyBorder="1" applyAlignment="1">
      <alignment horizontal="center"/>
    </xf>
    <xf numFmtId="167" fontId="3" fillId="3" borderId="15" xfId="2" applyNumberFormat="1" applyFont="1" applyFill="1" applyBorder="1" applyAlignment="1">
      <alignment horizontal="center"/>
    </xf>
    <xf numFmtId="167" fontId="3" fillId="3" borderId="15" xfId="0" applyNumberFormat="1" applyFont="1" applyFill="1" applyBorder="1" applyAlignment="1">
      <alignment horizontal="center"/>
    </xf>
    <xf numFmtId="4" fontId="3" fillId="3" borderId="15" xfId="0" applyNumberFormat="1" applyFont="1" applyFill="1" applyBorder="1" applyAlignment="1">
      <alignment horizontal="center"/>
    </xf>
    <xf numFmtId="0" fontId="0" fillId="2" borderId="17"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167" fontId="0" fillId="2" borderId="27" xfId="0" applyNumberFormat="1" applyFill="1" applyBorder="1" applyAlignment="1">
      <alignment horizontal="center" vertical="center" wrapText="1"/>
    </xf>
    <xf numFmtId="167" fontId="0" fillId="2" borderId="15" xfId="0" applyNumberFormat="1" applyFill="1" applyBorder="1" applyAlignment="1">
      <alignment horizontal="center" vertical="center" wrapText="1"/>
    </xf>
    <xf numFmtId="3" fontId="0" fillId="2" borderId="15" xfId="0" applyNumberFormat="1" applyFill="1" applyBorder="1" applyAlignment="1">
      <alignment horizontal="center" vertical="center" wrapText="1"/>
    </xf>
    <xf numFmtId="0" fontId="0" fillId="2" borderId="23" xfId="0" applyFill="1" applyBorder="1" applyAlignment="1">
      <alignment horizontal="center" vertical="center" wrapText="1"/>
    </xf>
    <xf numFmtId="0" fontId="3" fillId="3" borderId="17"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167" fontId="3" fillId="3" borderId="27" xfId="0" applyNumberFormat="1" applyFont="1" applyFill="1" applyBorder="1" applyAlignment="1">
      <alignment horizontal="center"/>
    </xf>
    <xf numFmtId="164" fontId="3" fillId="3" borderId="15" xfId="1" applyNumberFormat="1" applyFont="1" applyFill="1" applyBorder="1" applyAlignment="1">
      <alignment horizontal="center"/>
    </xf>
    <xf numFmtId="3" fontId="3" fillId="3" borderId="15" xfId="1" applyNumberFormat="1" applyFont="1" applyFill="1" applyBorder="1" applyAlignment="1">
      <alignment horizontal="center"/>
    </xf>
    <xf numFmtId="164" fontId="3" fillId="3" borderId="23" xfId="1" applyNumberFormat="1" applyFont="1" applyFill="1" applyBorder="1" applyAlignment="1">
      <alignment horizontal="center"/>
    </xf>
    <xf numFmtId="167" fontId="0" fillId="0" borderId="15" xfId="0" applyNumberFormat="1" applyBorder="1" applyAlignment="1">
      <alignment horizontal="center" vertical="center"/>
    </xf>
    <xf numFmtId="3" fontId="0" fillId="0" borderId="15" xfId="0" applyNumberFormat="1" applyBorder="1" applyAlignment="1">
      <alignment horizontal="center"/>
    </xf>
    <xf numFmtId="2" fontId="3" fillId="3" borderId="15" xfId="0" applyNumberFormat="1" applyFont="1" applyFill="1" applyBorder="1" applyAlignment="1">
      <alignment horizontal="center"/>
    </xf>
    <xf numFmtId="0" fontId="0" fillId="5" borderId="15" xfId="0" applyFill="1" applyBorder="1" applyAlignment="1">
      <alignment horizontal="center"/>
    </xf>
    <xf numFmtId="167" fontId="3" fillId="3" borderId="25" xfId="0" applyNumberFormat="1" applyFont="1" applyFill="1" applyBorder="1" applyAlignment="1">
      <alignment horizontal="center"/>
    </xf>
    <xf numFmtId="0" fontId="0" fillId="4" borderId="15" xfId="0" applyFill="1" applyBorder="1" applyAlignment="1">
      <alignment horizontal="center"/>
    </xf>
    <xf numFmtId="4" fontId="0" fillId="4" borderId="23" xfId="0" applyNumberFormat="1" applyFill="1" applyBorder="1" applyAlignment="1">
      <alignment horizontal="center"/>
    </xf>
    <xf numFmtId="0" fontId="0" fillId="0" borderId="15" xfId="0" applyBorder="1" applyAlignment="1">
      <alignment horizontal="center"/>
    </xf>
    <xf numFmtId="167" fontId="0" fillId="5" borderId="15" xfId="2" applyNumberFormat="1" applyFont="1" applyFill="1" applyBorder="1" applyAlignment="1">
      <alignment horizontal="center"/>
    </xf>
    <xf numFmtId="3" fontId="3" fillId="3" borderId="23" xfId="0" applyNumberFormat="1" applyFont="1" applyFill="1" applyBorder="1" applyAlignment="1">
      <alignment horizontal="center"/>
    </xf>
    <xf numFmtId="1" fontId="0" fillId="5" borderId="15" xfId="0" applyNumberFormat="1" applyFill="1" applyBorder="1" applyAlignment="1">
      <alignment horizontal="center"/>
    </xf>
    <xf numFmtId="164" fontId="3" fillId="6" borderId="17" xfId="1" applyNumberFormat="1" applyFont="1" applyFill="1" applyBorder="1" applyAlignment="1">
      <alignment horizontal="center"/>
    </xf>
    <xf numFmtId="164" fontId="3" fillId="6" borderId="15" xfId="1" applyNumberFormat="1" applyFont="1" applyFill="1" applyBorder="1" applyAlignment="1">
      <alignment horizontal="center"/>
    </xf>
    <xf numFmtId="164" fontId="3" fillId="6" borderId="16" xfId="1" applyNumberFormat="1" applyFont="1" applyFill="1" applyBorder="1" applyAlignment="1">
      <alignment horizontal="center"/>
    </xf>
    <xf numFmtId="164" fontId="3" fillId="3" borderId="16" xfId="1" applyNumberFormat="1" applyFont="1" applyFill="1" applyBorder="1" applyAlignment="1">
      <alignment horizontal="center"/>
    </xf>
    <xf numFmtId="43" fontId="3" fillId="6" borderId="15" xfId="1" applyFont="1" applyFill="1" applyBorder="1" applyAlignment="1">
      <alignment horizontal="center"/>
    </xf>
    <xf numFmtId="164" fontId="3" fillId="6" borderId="23" xfId="1" applyNumberFormat="1" applyFont="1" applyFill="1" applyBorder="1" applyAlignment="1">
      <alignment horizontal="center"/>
    </xf>
    <xf numFmtId="3" fontId="3" fillId="3" borderId="31" xfId="0" applyNumberFormat="1" applyFont="1" applyFill="1" applyBorder="1" applyAlignment="1">
      <alignment horizontal="center"/>
    </xf>
    <xf numFmtId="3" fontId="3" fillId="3" borderId="33" xfId="0" applyNumberFormat="1" applyFont="1" applyFill="1" applyBorder="1" applyAlignment="1">
      <alignment horizontal="center"/>
    </xf>
    <xf numFmtId="9" fontId="3" fillId="3" borderId="10" xfId="3" applyFont="1" applyFill="1" applyBorder="1" applyAlignment="1">
      <alignment horizontal="center"/>
    </xf>
    <xf numFmtId="167" fontId="3" fillId="3" borderId="51" xfId="0" applyNumberFormat="1" applyFont="1" applyFill="1" applyBorder="1" applyAlignment="1">
      <alignment horizontal="center"/>
    </xf>
    <xf numFmtId="167" fontId="3" fillId="3" borderId="33" xfId="0" applyNumberFormat="1" applyFont="1" applyFill="1" applyBorder="1" applyAlignment="1">
      <alignment horizontal="center"/>
    </xf>
    <xf numFmtId="9" fontId="3" fillId="3" borderId="34" xfId="3" applyFont="1" applyFill="1" applyBorder="1" applyAlignment="1">
      <alignment horizontal="center"/>
    </xf>
    <xf numFmtId="3" fontId="3" fillId="3" borderId="33" xfId="1" applyNumberFormat="1" applyFont="1" applyFill="1" applyBorder="1" applyAlignment="1">
      <alignment horizontal="center"/>
    </xf>
    <xf numFmtId="4" fontId="3" fillId="3" borderId="33" xfId="1" applyNumberFormat="1" applyFont="1" applyFill="1" applyBorder="1" applyAlignment="1">
      <alignment horizontal="center"/>
    </xf>
    <xf numFmtId="168" fontId="10" fillId="0" borderId="20" xfId="2" applyNumberFormat="1" applyFont="1" applyBorder="1" applyAlignment="1">
      <alignment horizontal="center" vertical="center"/>
    </xf>
    <xf numFmtId="168" fontId="0" fillId="0" borderId="20" xfId="0" applyNumberFormat="1" applyBorder="1" applyAlignment="1">
      <alignment horizontal="center" vertical="center"/>
    </xf>
    <xf numFmtId="168" fontId="0" fillId="0" borderId="15" xfId="0" applyNumberFormat="1" applyBorder="1" applyAlignment="1">
      <alignment horizontal="center" vertical="center"/>
    </xf>
    <xf numFmtId="168" fontId="10" fillId="0" borderId="15" xfId="2" applyNumberFormat="1" applyFont="1" applyBorder="1" applyAlignment="1">
      <alignment horizontal="center" vertical="center"/>
    </xf>
    <xf numFmtId="168" fontId="10" fillId="0" borderId="20" xfId="0" applyNumberFormat="1" applyFont="1" applyBorder="1" applyAlignment="1">
      <alignment horizontal="center" vertical="center"/>
    </xf>
    <xf numFmtId="168" fontId="0" fillId="0" borderId="15" xfId="2" applyNumberFormat="1" applyFont="1" applyBorder="1" applyAlignment="1">
      <alignment horizontal="center" vertical="center"/>
    </xf>
    <xf numFmtId="168" fontId="10" fillId="0" borderId="15" xfId="2" applyNumberFormat="1" applyFont="1" applyBorder="1" applyAlignment="1">
      <alignment horizontal="center"/>
    </xf>
    <xf numFmtId="168" fontId="3" fillId="3" borderId="15" xfId="2" applyNumberFormat="1" applyFont="1" applyFill="1" applyBorder="1" applyAlignment="1">
      <alignment horizontal="center"/>
    </xf>
    <xf numFmtId="168" fontId="0" fillId="2" borderId="15" xfId="2" applyNumberFormat="1" applyFont="1" applyFill="1" applyBorder="1" applyAlignment="1">
      <alignment horizontal="center" vertical="center" wrapText="1"/>
    </xf>
    <xf numFmtId="168" fontId="0" fillId="2" borderId="15" xfId="0" applyNumberFormat="1" applyFill="1" applyBorder="1" applyAlignment="1">
      <alignment horizontal="center" vertical="center" wrapText="1"/>
    </xf>
    <xf numFmtId="168" fontId="3" fillId="3" borderId="15" xfId="0" applyNumberFormat="1" applyFont="1" applyFill="1" applyBorder="1" applyAlignment="1">
      <alignment horizontal="center"/>
    </xf>
    <xf numFmtId="168" fontId="3" fillId="3" borderId="41" xfId="2" applyNumberFormat="1" applyFont="1" applyFill="1" applyBorder="1" applyAlignment="1">
      <alignment horizontal="center"/>
    </xf>
    <xf numFmtId="168" fontId="3" fillId="3" borderId="55" xfId="2" applyNumberFormat="1" applyFont="1" applyFill="1" applyBorder="1" applyAlignment="1">
      <alignment horizontal="center"/>
    </xf>
    <xf numFmtId="0" fontId="10" fillId="0" borderId="7" xfId="0" applyFont="1" applyBorder="1" applyAlignment="1">
      <alignment horizontal="center" vertical="center"/>
    </xf>
    <xf numFmtId="1" fontId="10" fillId="0" borderId="20" xfId="0" applyNumberFormat="1" applyFont="1" applyBorder="1" applyAlignment="1">
      <alignment horizontal="center" vertical="center"/>
    </xf>
    <xf numFmtId="1" fontId="3" fillId="3" borderId="15" xfId="0" applyNumberFormat="1" applyFont="1" applyFill="1" applyBorder="1" applyAlignment="1">
      <alignment horizontal="center"/>
    </xf>
    <xf numFmtId="3" fontId="0" fillId="2" borderId="16" xfId="0" applyNumberFormat="1" applyFill="1" applyBorder="1" applyAlignment="1">
      <alignment horizontal="center" vertical="center" wrapText="1"/>
    </xf>
    <xf numFmtId="3" fontId="3" fillId="3" borderId="16" xfId="1" applyNumberFormat="1" applyFont="1" applyFill="1" applyBorder="1" applyAlignment="1">
      <alignment horizontal="center"/>
    </xf>
    <xf numFmtId="3" fontId="10" fillId="0" borderId="15" xfId="0" applyNumberFormat="1" applyFont="1" applyBorder="1" applyAlignment="1">
      <alignment horizontal="center"/>
    </xf>
    <xf numFmtId="1" fontId="0" fillId="0" borderId="15" xfId="0" applyNumberFormat="1" applyBorder="1" applyAlignment="1">
      <alignment horizontal="center" vertical="center"/>
    </xf>
    <xf numFmtId="3" fontId="3" fillId="6" borderId="31" xfId="1" applyNumberFormat="1" applyFont="1" applyFill="1" applyBorder="1" applyAlignment="1">
      <alignment horizontal="center"/>
    </xf>
    <xf numFmtId="164" fontId="3" fillId="6" borderId="39" xfId="1" applyNumberFormat="1" applyFont="1" applyFill="1" applyBorder="1" applyAlignment="1">
      <alignment horizontal="center"/>
    </xf>
    <xf numFmtId="164" fontId="3" fillId="6" borderId="12" xfId="1" applyNumberFormat="1" applyFont="1" applyFill="1" applyBorder="1" applyAlignment="1">
      <alignment horizontal="center"/>
    </xf>
    <xf numFmtId="3" fontId="3" fillId="6" borderId="34" xfId="1" applyNumberFormat="1" applyFont="1" applyFill="1" applyBorder="1" applyAlignment="1">
      <alignment horizontal="center"/>
    </xf>
    <xf numFmtId="167" fontId="0" fillId="0" borderId="15" xfId="2" applyNumberFormat="1" applyFont="1" applyBorder="1" applyAlignment="1">
      <alignment horizontal="center"/>
    </xf>
    <xf numFmtId="164" fontId="3" fillId="6" borderId="31" xfId="1" applyNumberFormat="1" applyFont="1" applyFill="1" applyBorder="1" applyAlignment="1">
      <alignment horizontal="center"/>
    </xf>
    <xf numFmtId="164" fontId="3" fillId="6" borderId="34" xfId="1" applyNumberFormat="1" applyFont="1" applyFill="1" applyBorder="1" applyAlignment="1">
      <alignment horizontal="center"/>
    </xf>
    <xf numFmtId="167" fontId="3" fillId="3" borderId="31" xfId="2" applyNumberFormat="1" applyFont="1" applyFill="1" applyBorder="1" applyAlignment="1">
      <alignment horizontal="center"/>
    </xf>
    <xf numFmtId="171" fontId="0" fillId="0" borderId="0" xfId="0" applyNumberFormat="1"/>
    <xf numFmtId="3" fontId="0" fillId="18" borderId="5" xfId="0" applyNumberFormat="1" applyFill="1" applyBorder="1" applyAlignment="1">
      <alignment horizontal="center"/>
    </xf>
    <xf numFmtId="3" fontId="0" fillId="18" borderId="19" xfId="0" applyNumberFormat="1" applyFill="1" applyBorder="1" applyAlignment="1">
      <alignment horizontal="center"/>
    </xf>
    <xf numFmtId="3" fontId="0" fillId="18" borderId="17" xfId="0" applyNumberFormat="1" applyFill="1" applyBorder="1" applyAlignment="1">
      <alignment horizontal="center" vertical="center"/>
    </xf>
    <xf numFmtId="0" fontId="0" fillId="18" borderId="17" xfId="0" applyFill="1" applyBorder="1" applyAlignment="1">
      <alignment horizontal="center" vertical="center"/>
    </xf>
    <xf numFmtId="0" fontId="0" fillId="18" borderId="17" xfId="0" applyFill="1" applyBorder="1" applyAlignment="1">
      <alignment horizontal="center"/>
    </xf>
    <xf numFmtId="167" fontId="1" fillId="18" borderId="37" xfId="2" applyNumberFormat="1" applyFont="1" applyFill="1" applyBorder="1" applyAlignment="1">
      <alignment horizontal="center"/>
    </xf>
    <xf numFmtId="167" fontId="1" fillId="18" borderId="53" xfId="2" applyNumberFormat="1" applyFont="1" applyFill="1" applyBorder="1" applyAlignment="1">
      <alignment horizontal="center"/>
    </xf>
    <xf numFmtId="167" fontId="0" fillId="18" borderId="27" xfId="2" applyNumberFormat="1" applyFont="1" applyFill="1" applyBorder="1" applyAlignment="1">
      <alignment horizontal="center" vertical="center"/>
    </xf>
    <xf numFmtId="167" fontId="0" fillId="18" borderId="27" xfId="0" applyNumberFormat="1" applyFill="1" applyBorder="1" applyAlignment="1">
      <alignment horizontal="center" vertical="center"/>
    </xf>
    <xf numFmtId="167" fontId="0" fillId="18" borderId="27" xfId="2" applyNumberFormat="1" applyFont="1" applyFill="1" applyBorder="1" applyAlignment="1">
      <alignment horizontal="center"/>
    </xf>
    <xf numFmtId="3" fontId="0" fillId="18" borderId="17" xfId="0" applyNumberFormat="1" applyFill="1" applyBorder="1" applyAlignment="1">
      <alignment horizontal="center"/>
    </xf>
    <xf numFmtId="4" fontId="0" fillId="18" borderId="20" xfId="0" applyNumberFormat="1" applyFill="1" applyBorder="1" applyAlignment="1">
      <alignment horizontal="center"/>
    </xf>
    <xf numFmtId="3" fontId="0" fillId="18" borderId="20" xfId="0" applyNumberFormat="1" applyFill="1" applyBorder="1" applyAlignment="1">
      <alignment horizontal="center"/>
    </xf>
    <xf numFmtId="4" fontId="0" fillId="18" borderId="15" xfId="0" applyNumberFormat="1" applyFill="1" applyBorder="1" applyAlignment="1">
      <alignment horizontal="center"/>
    </xf>
    <xf numFmtId="3" fontId="0" fillId="18" borderId="15" xfId="0" applyNumberFormat="1" applyFill="1" applyBorder="1" applyAlignment="1">
      <alignment horizontal="center"/>
    </xf>
    <xf numFmtId="0" fontId="7" fillId="2" borderId="5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3" fillId="3" borderId="48" xfId="0" applyFont="1" applyFill="1" applyBorder="1"/>
    <xf numFmtId="0" fontId="3" fillId="3" borderId="18" xfId="0" applyFont="1" applyFill="1" applyBorder="1"/>
    <xf numFmtId="0" fontId="3" fillId="3" borderId="58" xfId="0" applyFont="1" applyFill="1" applyBorder="1"/>
    <xf numFmtId="164" fontId="3" fillId="3" borderId="58" xfId="1" applyNumberFormat="1" applyFont="1" applyFill="1" applyBorder="1" applyAlignment="1"/>
    <xf numFmtId="164" fontId="3" fillId="3" borderId="3" xfId="1" applyNumberFormat="1" applyFont="1" applyFill="1" applyBorder="1" applyAlignment="1"/>
    <xf numFmtId="0" fontId="0" fillId="5" borderId="29" xfId="0" applyFill="1" applyBorder="1" applyAlignment="1">
      <alignment wrapText="1"/>
    </xf>
    <xf numFmtId="2" fontId="0" fillId="18" borderId="15" xfId="0" applyNumberFormat="1" applyFill="1" applyBorder="1" applyAlignment="1">
      <alignment horizontal="center"/>
    </xf>
    <xf numFmtId="0" fontId="3" fillId="3" borderId="26" xfId="0" applyFont="1" applyFill="1" applyBorder="1" applyAlignment="1">
      <alignment horizontal="center"/>
    </xf>
    <xf numFmtId="3" fontId="0" fillId="5" borderId="53" xfId="0" applyNumberFormat="1" applyFill="1" applyBorder="1" applyAlignment="1">
      <alignment horizontal="center"/>
    </xf>
    <xf numFmtId="3" fontId="3" fillId="3" borderId="27" xfId="0" applyNumberFormat="1" applyFont="1" applyFill="1" applyBorder="1" applyAlignment="1">
      <alignment horizontal="center"/>
    </xf>
    <xf numFmtId="3" fontId="0" fillId="2" borderId="27" xfId="0" applyNumberFormat="1" applyFill="1" applyBorder="1" applyAlignment="1">
      <alignment horizontal="center" vertical="center" wrapText="1"/>
    </xf>
    <xf numFmtId="3" fontId="3" fillId="3" borderId="27" xfId="1" applyNumberFormat="1" applyFont="1" applyFill="1" applyBorder="1" applyAlignment="1">
      <alignment horizontal="center"/>
    </xf>
    <xf numFmtId="9" fontId="0" fillId="4" borderId="27" xfId="3" applyFont="1" applyFill="1" applyBorder="1" applyAlignment="1">
      <alignment horizontal="center"/>
    </xf>
    <xf numFmtId="3" fontId="3" fillId="6" borderId="27" xfId="1" applyNumberFormat="1" applyFont="1" applyFill="1" applyBorder="1" applyAlignment="1">
      <alignment horizontal="center"/>
    </xf>
    <xf numFmtId="3" fontId="3" fillId="3" borderId="51" xfId="1" applyNumberFormat="1" applyFont="1" applyFill="1" applyBorder="1" applyAlignment="1">
      <alignment horizontal="center"/>
    </xf>
    <xf numFmtId="9" fontId="0" fillId="4" borderId="16" xfId="3" applyFont="1" applyFill="1" applyBorder="1" applyAlignment="1">
      <alignment horizontal="center"/>
    </xf>
    <xf numFmtId="1" fontId="0" fillId="0" borderId="16" xfId="3" applyNumberFormat="1" applyFont="1" applyFill="1" applyBorder="1" applyAlignment="1">
      <alignment horizontal="center"/>
    </xf>
    <xf numFmtId="9" fontId="3" fillId="4" borderId="34" xfId="3" applyFont="1" applyFill="1" applyBorder="1" applyAlignment="1">
      <alignment horizontal="center"/>
    </xf>
    <xf numFmtId="167" fontId="0" fillId="0" borderId="15" xfId="2" applyNumberFormat="1" applyFont="1" applyFill="1" applyBorder="1" applyAlignment="1">
      <alignment horizontal="center" vertical="center"/>
    </xf>
    <xf numFmtId="167" fontId="1" fillId="3" borderId="27" xfId="2" applyNumberFormat="1" applyFont="1" applyFill="1" applyBorder="1" applyAlignment="1">
      <alignment horizontal="center"/>
    </xf>
    <xf numFmtId="167" fontId="1" fillId="3" borderId="15" xfId="1" applyNumberFormat="1" applyFont="1" applyFill="1" applyBorder="1" applyAlignment="1">
      <alignment horizontal="center"/>
    </xf>
    <xf numFmtId="167" fontId="1" fillId="3" borderId="15" xfId="2" applyNumberFormat="1" applyFont="1" applyFill="1" applyBorder="1" applyAlignment="1">
      <alignment horizontal="center"/>
    </xf>
    <xf numFmtId="3" fontId="0" fillId="2" borderId="17" xfId="0" applyNumberFormat="1" applyFill="1" applyBorder="1" applyAlignment="1">
      <alignment horizontal="center" vertical="center" wrapText="1"/>
    </xf>
    <xf numFmtId="3" fontId="0" fillId="4" borderId="17" xfId="0" applyNumberFormat="1" applyFill="1" applyBorder="1" applyAlignment="1">
      <alignment horizontal="center"/>
    </xf>
    <xf numFmtId="3" fontId="0" fillId="4" borderId="15" xfId="0" applyNumberFormat="1" applyFill="1" applyBorder="1" applyAlignment="1">
      <alignment horizontal="center"/>
    </xf>
    <xf numFmtId="3" fontId="10" fillId="18" borderId="19" xfId="0" applyNumberFormat="1" applyFont="1" applyFill="1" applyBorder="1" applyAlignment="1">
      <alignment horizontal="center"/>
    </xf>
    <xf numFmtId="3" fontId="10" fillId="18" borderId="17" xfId="0" applyNumberFormat="1" applyFont="1" applyFill="1" applyBorder="1" applyAlignment="1">
      <alignment horizontal="center" vertical="center"/>
    </xf>
    <xf numFmtId="3" fontId="0" fillId="18" borderId="7" xfId="0" applyNumberFormat="1" applyFill="1" applyBorder="1" applyAlignment="1">
      <alignment horizontal="center"/>
    </xf>
    <xf numFmtId="3" fontId="0" fillId="18" borderId="15" xfId="0" applyNumberFormat="1" applyFill="1" applyBorder="1" applyAlignment="1">
      <alignment horizontal="center" vertical="center"/>
    </xf>
    <xf numFmtId="0" fontId="0" fillId="18" borderId="15" xfId="0" applyFill="1" applyBorder="1" applyAlignment="1">
      <alignment horizontal="center" vertical="center"/>
    </xf>
    <xf numFmtId="0" fontId="0" fillId="18" borderId="15" xfId="0" applyFill="1" applyBorder="1" applyAlignment="1">
      <alignment horizontal="center"/>
    </xf>
    <xf numFmtId="167" fontId="0" fillId="18" borderId="7" xfId="0" applyNumberFormat="1" applyFill="1" applyBorder="1" applyAlignment="1">
      <alignment horizontal="center"/>
    </xf>
    <xf numFmtId="167" fontId="0" fillId="18" borderId="20" xfId="0" applyNumberFormat="1" applyFill="1" applyBorder="1" applyAlignment="1">
      <alignment horizontal="center"/>
    </xf>
    <xf numFmtId="3" fontId="0" fillId="18" borderId="52" xfId="0" applyNumberFormat="1" applyFill="1" applyBorder="1" applyAlignment="1">
      <alignment horizontal="center"/>
    </xf>
    <xf numFmtId="0" fontId="10" fillId="18" borderId="17" xfId="0" applyFont="1" applyFill="1" applyBorder="1" applyAlignment="1">
      <alignment horizontal="center" vertical="center"/>
    </xf>
    <xf numFmtId="0" fontId="10" fillId="18" borderId="17" xfId="0" applyFont="1" applyFill="1" applyBorder="1" applyAlignment="1">
      <alignment horizontal="center"/>
    </xf>
    <xf numFmtId="173" fontId="10" fillId="0" borderId="20" xfId="2" applyNumberFormat="1" applyFont="1" applyBorder="1" applyAlignment="1">
      <alignment horizontal="center" vertical="center"/>
    </xf>
    <xf numFmtId="4" fontId="0" fillId="0" borderId="0" xfId="0" applyNumberFormat="1"/>
    <xf numFmtId="0" fontId="0" fillId="0" borderId="24" xfId="0" applyBorder="1" applyAlignment="1">
      <alignment horizontal="left" vertical="center"/>
    </xf>
    <xf numFmtId="0" fontId="0" fillId="0" borderId="19" xfId="0" applyBorder="1" applyAlignment="1">
      <alignment horizontal="left" vertical="center"/>
    </xf>
    <xf numFmtId="167" fontId="1" fillId="5" borderId="40" xfId="2" applyNumberFormat="1" applyFont="1" applyFill="1" applyBorder="1" applyAlignment="1">
      <alignment horizontal="center"/>
    </xf>
    <xf numFmtId="167" fontId="1" fillId="5" borderId="20" xfId="2" applyNumberFormat="1" applyFont="1" applyFill="1" applyBorder="1" applyAlignment="1">
      <alignment horizontal="center"/>
    </xf>
    <xf numFmtId="167" fontId="1" fillId="5" borderId="25" xfId="2" applyNumberFormat="1" applyFont="1" applyFill="1" applyBorder="1" applyAlignment="1">
      <alignment horizontal="center"/>
    </xf>
    <xf numFmtId="9" fontId="1" fillId="5" borderId="46" xfId="3" applyFont="1" applyFill="1" applyBorder="1" applyAlignment="1">
      <alignment horizontal="center"/>
    </xf>
    <xf numFmtId="9" fontId="1" fillId="5" borderId="21" xfId="3" applyFont="1" applyFill="1" applyBorder="1" applyAlignment="1">
      <alignment horizontal="center"/>
    </xf>
    <xf numFmtId="9" fontId="1" fillId="5" borderId="26" xfId="3" applyFont="1" applyFill="1" applyBorder="1" applyAlignment="1">
      <alignment horizontal="center"/>
    </xf>
    <xf numFmtId="0" fontId="6" fillId="2" borderId="3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44" xfId="0" applyFont="1" applyFill="1" applyBorder="1" applyAlignment="1">
      <alignment horizontal="center" vertical="center"/>
    </xf>
    <xf numFmtId="0" fontId="6" fillId="7" borderId="36" xfId="0" applyFont="1" applyFill="1" applyBorder="1" applyAlignment="1">
      <alignment horizontal="center" vertical="center"/>
    </xf>
    <xf numFmtId="0" fontId="0" fillId="0" borderId="17" xfId="0" applyBorder="1" applyAlignment="1">
      <alignment horizontal="left" vertical="center" wrapText="1"/>
    </xf>
    <xf numFmtId="0" fontId="6" fillId="2" borderId="38" xfId="0" applyFont="1" applyFill="1" applyBorder="1" applyAlignment="1">
      <alignment horizontal="center" vertical="center"/>
    </xf>
    <xf numFmtId="0" fontId="0" fillId="5" borderId="28" xfId="0" applyFill="1" applyBorder="1" applyAlignment="1">
      <alignment horizontal="left" vertical="center"/>
    </xf>
    <xf numFmtId="0" fontId="0" fillId="5" borderId="19" xfId="0" applyFill="1" applyBorder="1" applyAlignment="1">
      <alignment horizontal="left" vertical="center"/>
    </xf>
    <xf numFmtId="3" fontId="0" fillId="5" borderId="40" xfId="0" applyNumberFormat="1" applyFill="1" applyBorder="1" applyAlignment="1">
      <alignment horizontal="center"/>
    </xf>
    <xf numFmtId="3" fontId="0" fillId="5" borderId="20" xfId="0" applyNumberFormat="1" applyFill="1" applyBorder="1" applyAlignment="1">
      <alignment horizont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44" xfId="0" applyFont="1" applyFill="1" applyBorder="1" applyAlignment="1">
      <alignment horizontal="center" vertical="center"/>
    </xf>
    <xf numFmtId="0" fontId="6" fillId="2" borderId="1" xfId="0" applyFont="1" applyFill="1" applyBorder="1" applyAlignment="1">
      <alignment horizontal="center" vertical="center"/>
    </xf>
    <xf numFmtId="164" fontId="7" fillId="2" borderId="32" xfId="1" applyNumberFormat="1" applyFont="1" applyFill="1" applyBorder="1" applyAlignment="1">
      <alignment horizontal="center" vertical="center" wrapText="1"/>
    </xf>
    <xf numFmtId="164" fontId="7" fillId="2" borderId="4" xfId="1" applyNumberFormat="1" applyFont="1" applyFill="1" applyBorder="1" applyAlignment="1">
      <alignment horizontal="center" vertical="center" wrapText="1"/>
    </xf>
    <xf numFmtId="164" fontId="7" fillId="7" borderId="2" xfId="1" applyNumberFormat="1" applyFont="1" applyFill="1" applyBorder="1" applyAlignment="1">
      <alignment horizontal="center" vertical="center" wrapText="1"/>
    </xf>
    <xf numFmtId="164" fontId="7" fillId="7" borderId="3"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64" fontId="7" fillId="2" borderId="45" xfId="1" applyNumberFormat="1" applyFont="1" applyFill="1" applyBorder="1" applyAlignment="1">
      <alignment horizontal="center" vertical="center" wrapText="1"/>
    </xf>
    <xf numFmtId="164" fontId="7" fillId="7" borderId="41" xfId="1" applyNumberFormat="1" applyFont="1" applyFill="1" applyBorder="1" applyAlignment="1">
      <alignment horizontal="center" vertical="center" wrapText="1"/>
    </xf>
    <xf numFmtId="164" fontId="7" fillId="7" borderId="45" xfId="1" applyNumberFormat="1" applyFont="1" applyFill="1" applyBorder="1" applyAlignment="1">
      <alignment horizontal="center" vertical="center" wrapText="1"/>
    </xf>
    <xf numFmtId="0" fontId="0" fillId="9" borderId="22" xfId="0" applyFill="1" applyBorder="1" applyAlignment="1" applyProtection="1">
      <alignment horizontal="center" vertical="center"/>
      <protection hidden="1"/>
    </xf>
    <xf numFmtId="0" fontId="0" fillId="9" borderId="27" xfId="0" applyFill="1" applyBorder="1" applyAlignment="1" applyProtection="1">
      <alignment horizontal="center" vertical="center"/>
      <protection hidden="1"/>
    </xf>
    <xf numFmtId="0" fontId="0" fillId="11" borderId="30" xfId="0" applyFill="1" applyBorder="1" applyAlignment="1" applyProtection="1">
      <alignment horizontal="center" vertical="center"/>
      <protection hidden="1"/>
    </xf>
    <xf numFmtId="0" fontId="0" fillId="11" borderId="22" xfId="0" applyFill="1" applyBorder="1" applyAlignment="1" applyProtection="1">
      <alignment horizontal="center" vertical="center"/>
      <protection hidden="1"/>
    </xf>
    <xf numFmtId="0" fontId="0" fillId="11" borderId="27" xfId="0" applyFill="1" applyBorder="1" applyAlignment="1" applyProtection="1">
      <alignment horizontal="center" vertical="center"/>
      <protection hidden="1"/>
    </xf>
    <xf numFmtId="0" fontId="0" fillId="12" borderId="30" xfId="0" applyFill="1" applyBorder="1" applyAlignment="1" applyProtection="1">
      <alignment horizontal="center" vertical="center" wrapText="1"/>
      <protection hidden="1"/>
    </xf>
    <xf numFmtId="0" fontId="0" fillId="12" borderId="22" xfId="0" applyFill="1" applyBorder="1" applyAlignment="1" applyProtection="1">
      <alignment horizontal="center" vertical="center" wrapText="1"/>
      <protection hidden="1"/>
    </xf>
    <xf numFmtId="0" fontId="0" fillId="12" borderId="27" xfId="0" applyFill="1" applyBorder="1" applyAlignment="1" applyProtection="1">
      <alignment horizontal="center" vertical="center" wrapText="1"/>
      <protection hidden="1"/>
    </xf>
  </cellXfs>
  <cellStyles count="7">
    <cellStyle name="Comma" xfId="1" builtinId="3"/>
    <cellStyle name="Currency" xfId="2" builtinId="4"/>
    <cellStyle name="Normal" xfId="0" builtinId="0"/>
    <cellStyle name="Normal 10 2" xfId="4"/>
    <cellStyle name="Normal 2" xfId="6"/>
    <cellStyle name="Normal_Lookup Sheet" xfId="5"/>
    <cellStyle name="Percent" xfId="3" builtinId="5"/>
  </cellStyles>
  <dxfs count="1">
    <dxf>
      <fill>
        <patternFill>
          <bgColor theme="7"/>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AM38"/>
  <sheetViews>
    <sheetView topLeftCell="A6" zoomScaleNormal="100" zoomScaleSheetLayoutView="90" workbookViewId="0">
      <selection activeCell="B39" sqref="B39"/>
    </sheetView>
  </sheetViews>
  <sheetFormatPr defaultColWidth="9.453125" defaultRowHeight="14.5" x14ac:dyDescent="0.35"/>
  <cols>
    <col min="1" max="1" width="4.453125" customWidth="1"/>
    <col min="2" max="2" width="34.81640625" customWidth="1"/>
    <col min="3" max="3" width="66" customWidth="1"/>
    <col min="4" max="13" width="13.54296875" customWidth="1"/>
    <col min="14" max="16" width="14.54296875" style="2" customWidth="1"/>
    <col min="17" max="17" width="14.54296875" style="3" customWidth="1"/>
    <col min="18" max="18" width="14.54296875" customWidth="1"/>
    <col min="19" max="19" width="15.1796875" customWidth="1"/>
    <col min="20" max="20" width="16.453125" style="4" customWidth="1"/>
    <col min="21" max="22" width="16.453125" customWidth="1"/>
    <col min="23" max="24" width="15.54296875" style="2" customWidth="1"/>
    <col min="25" max="25" width="13.54296875" customWidth="1"/>
    <col min="29" max="29" width="9.453125" customWidth="1"/>
  </cols>
  <sheetData>
    <row r="1" spans="1:24" ht="23.5" x14ac:dyDescent="0.55000000000000004">
      <c r="A1" s="1" t="s">
        <v>8</v>
      </c>
      <c r="T1" s="33"/>
      <c r="W1" s="32"/>
      <c r="X1" s="32"/>
    </row>
    <row r="2" spans="1:24" x14ac:dyDescent="0.35">
      <c r="T2" s="33"/>
      <c r="W2" s="32"/>
      <c r="X2" s="32"/>
    </row>
    <row r="3" spans="1:24" ht="19" thickBot="1" x14ac:dyDescent="0.5">
      <c r="A3" s="5"/>
      <c r="B3" s="5" t="s">
        <v>9</v>
      </c>
      <c r="C3" s="5"/>
      <c r="D3" s="5"/>
      <c r="E3" s="5"/>
      <c r="F3" s="5"/>
      <c r="G3" s="5"/>
      <c r="H3" s="5"/>
      <c r="I3" s="5"/>
      <c r="J3" s="5"/>
      <c r="K3" s="5"/>
      <c r="L3" s="5"/>
      <c r="M3" s="5"/>
      <c r="Q3" s="12"/>
      <c r="T3" s="42"/>
      <c r="W3" s="32"/>
      <c r="X3" s="32"/>
    </row>
    <row r="4" spans="1:24" ht="43.4" customHeight="1" thickBot="1" x14ac:dyDescent="0.4">
      <c r="A4" t="s">
        <v>10</v>
      </c>
      <c r="B4" s="53"/>
      <c r="C4" s="27"/>
      <c r="D4" s="294" t="s">
        <v>6</v>
      </c>
      <c r="E4" s="294"/>
      <c r="F4" s="294"/>
      <c r="G4" s="295"/>
      <c r="H4" s="296" t="s">
        <v>11</v>
      </c>
      <c r="I4" s="297"/>
      <c r="J4" s="297"/>
      <c r="K4" s="297"/>
      <c r="L4" s="299" t="s">
        <v>12</v>
      </c>
      <c r="M4" s="299"/>
      <c r="N4" s="299"/>
      <c r="O4" s="299"/>
      <c r="P4" s="299"/>
      <c r="Q4" s="299"/>
      <c r="R4" s="299"/>
      <c r="S4" s="299"/>
      <c r="T4" s="33"/>
      <c r="V4" s="40" t="s">
        <v>6</v>
      </c>
      <c r="W4" s="40"/>
      <c r="X4" s="40"/>
    </row>
    <row r="5" spans="1:24" ht="21" customHeight="1" x14ac:dyDescent="0.35">
      <c r="B5" s="53"/>
      <c r="C5" s="27"/>
      <c r="D5" s="143" t="s">
        <v>13</v>
      </c>
      <c r="E5" s="17" t="s">
        <v>14</v>
      </c>
      <c r="F5" s="17" t="s">
        <v>15</v>
      </c>
      <c r="G5" s="118" t="s">
        <v>16</v>
      </c>
      <c r="H5" s="23" t="s">
        <v>17</v>
      </c>
      <c r="I5" s="24" t="s">
        <v>18</v>
      </c>
      <c r="J5" s="24" t="s">
        <v>19</v>
      </c>
      <c r="K5" s="24" t="s">
        <v>20</v>
      </c>
      <c r="L5" s="21" t="s">
        <v>21</v>
      </c>
      <c r="M5" s="21" t="s">
        <v>22</v>
      </c>
      <c r="N5" s="6" t="s">
        <v>23</v>
      </c>
      <c r="O5" s="246" t="s">
        <v>24</v>
      </c>
      <c r="P5" s="6" t="s">
        <v>25</v>
      </c>
      <c r="Q5" s="17" t="s">
        <v>26</v>
      </c>
      <c r="R5" s="17" t="s">
        <v>27</v>
      </c>
      <c r="S5" s="7" t="s">
        <v>28</v>
      </c>
      <c r="T5" s="33"/>
      <c r="W5" s="32"/>
      <c r="X5" s="32"/>
    </row>
    <row r="6" spans="1:24" ht="52.5" customHeight="1" thickBot="1" x14ac:dyDescent="0.4">
      <c r="B6" s="52"/>
      <c r="C6" s="28"/>
      <c r="D6" s="144" t="s">
        <v>0</v>
      </c>
      <c r="E6" s="68" t="s">
        <v>29</v>
      </c>
      <c r="F6" s="68" t="s">
        <v>30</v>
      </c>
      <c r="G6" s="145" t="s">
        <v>31</v>
      </c>
      <c r="H6" s="25" t="s">
        <v>32</v>
      </c>
      <c r="I6" s="26" t="s">
        <v>33</v>
      </c>
      <c r="J6" s="26" t="s">
        <v>34</v>
      </c>
      <c r="K6" s="26" t="s">
        <v>35</v>
      </c>
      <c r="L6" s="22" t="s">
        <v>36</v>
      </c>
      <c r="M6" s="22" t="s">
        <v>37</v>
      </c>
      <c r="N6" s="15" t="s">
        <v>38</v>
      </c>
      <c r="O6" s="247" t="s">
        <v>39</v>
      </c>
      <c r="P6" s="15" t="s">
        <v>40</v>
      </c>
      <c r="Q6" s="8" t="s">
        <v>41</v>
      </c>
      <c r="R6" s="68" t="s">
        <v>42</v>
      </c>
      <c r="S6" s="114" t="s">
        <v>43</v>
      </c>
      <c r="T6" s="33"/>
      <c r="W6" s="32"/>
      <c r="X6" s="32"/>
    </row>
    <row r="7" spans="1:24" ht="15" thickBot="1" x14ac:dyDescent="0.4">
      <c r="B7" s="44" t="s">
        <v>44</v>
      </c>
      <c r="C7" s="44" t="s">
        <v>45</v>
      </c>
      <c r="D7" s="44"/>
      <c r="E7" s="31"/>
      <c r="F7" s="31"/>
      <c r="G7" s="146"/>
      <c r="H7" s="117"/>
      <c r="I7" s="31"/>
      <c r="J7" s="43"/>
      <c r="K7" s="45"/>
      <c r="L7" s="30"/>
      <c r="M7" s="31"/>
      <c r="N7" s="31"/>
      <c r="O7" s="248"/>
      <c r="P7" s="249"/>
      <c r="Q7" s="250"/>
      <c r="R7" s="251"/>
      <c r="S7" s="252"/>
      <c r="T7" s="36"/>
      <c r="U7" s="35"/>
      <c r="V7" s="35"/>
      <c r="W7" s="35"/>
      <c r="X7" s="35"/>
    </row>
    <row r="8" spans="1:24" s="54" customFormat="1" x14ac:dyDescent="0.35">
      <c r="B8" s="300" t="s">
        <v>46</v>
      </c>
      <c r="C8" s="253" t="s">
        <v>47</v>
      </c>
      <c r="D8" s="231">
        <v>738</v>
      </c>
      <c r="E8" s="147">
        <v>2505</v>
      </c>
      <c r="F8" s="275">
        <v>7514</v>
      </c>
      <c r="G8" s="148">
        <f>F8/E8</f>
        <v>2.9996007984031938</v>
      </c>
      <c r="H8" s="236">
        <v>506.70600000000002</v>
      </c>
      <c r="I8" s="288">
        <v>1293.4469999999999</v>
      </c>
      <c r="J8" s="279">
        <v>689.029</v>
      </c>
      <c r="K8" s="291">
        <f>(J8+J9)/I8</f>
        <v>0.557143044902497</v>
      </c>
      <c r="L8" s="231">
        <v>81.087000000000003</v>
      </c>
      <c r="M8" s="302">
        <v>5392</v>
      </c>
      <c r="N8" s="275">
        <v>2145.529</v>
      </c>
      <c r="O8" s="291">
        <f>(N8+N9)/M8</f>
        <v>0.71189336053412466</v>
      </c>
      <c r="P8" s="256">
        <f>N8*1.0345</f>
        <v>2219.5497504999998</v>
      </c>
      <c r="Q8" s="242">
        <v>0.17499999999999999</v>
      </c>
      <c r="R8" s="243">
        <v>953.67399999999998</v>
      </c>
      <c r="S8" s="281">
        <v>31245.54</v>
      </c>
      <c r="T8" s="56"/>
      <c r="U8" s="123"/>
      <c r="V8" s="55"/>
      <c r="W8" s="55"/>
      <c r="X8" s="55"/>
    </row>
    <row r="9" spans="1:24" s="54" customFormat="1" x14ac:dyDescent="0.35">
      <c r="B9" s="301"/>
      <c r="C9" s="131" t="s">
        <v>48</v>
      </c>
      <c r="D9" s="273">
        <v>34060</v>
      </c>
      <c r="E9" s="149" t="s">
        <v>5</v>
      </c>
      <c r="F9" s="276">
        <f>D9</f>
        <v>34060</v>
      </c>
      <c r="G9" s="150" t="s">
        <v>5</v>
      </c>
      <c r="H9" s="237">
        <v>0.25</v>
      </c>
      <c r="I9" s="289"/>
      <c r="J9" s="280">
        <v>31.606000000000002</v>
      </c>
      <c r="K9" s="292"/>
      <c r="L9" s="232">
        <v>1044</v>
      </c>
      <c r="M9" s="303"/>
      <c r="N9" s="243">
        <v>1693</v>
      </c>
      <c r="O9" s="292"/>
      <c r="P9" s="256">
        <f>N9*1.0345</f>
        <v>1751.4085</v>
      </c>
      <c r="Q9" s="242">
        <v>0</v>
      </c>
      <c r="R9" s="243">
        <v>1044</v>
      </c>
      <c r="S9" s="281">
        <v>1693</v>
      </c>
      <c r="T9" s="56"/>
      <c r="U9" s="123"/>
      <c r="V9" s="55"/>
      <c r="W9" s="55"/>
      <c r="X9" s="55"/>
    </row>
    <row r="10" spans="1:24" ht="14.9" customHeight="1" x14ac:dyDescent="0.35">
      <c r="B10" s="298" t="s">
        <v>49</v>
      </c>
      <c r="C10" s="128" t="s">
        <v>50</v>
      </c>
      <c r="D10" s="274">
        <v>12</v>
      </c>
      <c r="E10" s="69">
        <v>954</v>
      </c>
      <c r="F10" s="276">
        <f>D10</f>
        <v>12</v>
      </c>
      <c r="G10" s="152">
        <f>F10/E10</f>
        <v>1.2578616352201259E-2</v>
      </c>
      <c r="H10" s="238">
        <v>154.70599999999999</v>
      </c>
      <c r="I10" s="153">
        <v>687.755</v>
      </c>
      <c r="J10" s="280">
        <v>187.64599999999999</v>
      </c>
      <c r="K10" s="152">
        <f>J10/I10</f>
        <v>0.2728384381065932</v>
      </c>
      <c r="L10" s="241">
        <v>61.936999999999998</v>
      </c>
      <c r="M10" s="154">
        <v>951</v>
      </c>
      <c r="N10" s="243">
        <f t="shared" ref="N10" si="0">L10</f>
        <v>61.936999999999998</v>
      </c>
      <c r="O10" s="152">
        <f>N10/M10</f>
        <v>6.5128286014721343E-2</v>
      </c>
      <c r="P10" s="256">
        <f t="shared" ref="P10:P11" si="1">N10*1.0345</f>
        <v>64.073826499999996</v>
      </c>
      <c r="Q10" s="244">
        <v>1E-3</v>
      </c>
      <c r="R10" s="245">
        <v>692.66399999999999</v>
      </c>
      <c r="S10" s="281">
        <v>692.66399999999999</v>
      </c>
      <c r="T10" s="41"/>
      <c r="U10" s="123"/>
      <c r="V10" s="32"/>
      <c r="W10" s="32"/>
      <c r="X10" s="32"/>
    </row>
    <row r="11" spans="1:24" ht="14.9" customHeight="1" x14ac:dyDescent="0.35">
      <c r="B11" s="298"/>
      <c r="C11" s="128" t="s">
        <v>51</v>
      </c>
      <c r="D11" s="274">
        <v>0</v>
      </c>
      <c r="E11" s="69">
        <v>75</v>
      </c>
      <c r="F11" s="276">
        <v>3504</v>
      </c>
      <c r="G11" s="155">
        <f>F11/E11</f>
        <v>46.72</v>
      </c>
      <c r="H11" s="238">
        <v>19.109000000000002</v>
      </c>
      <c r="I11" s="153">
        <v>336.97300000000001</v>
      </c>
      <c r="J11" s="280">
        <v>50.12</v>
      </c>
      <c r="K11" s="152">
        <f>J11/I11</f>
        <v>0.14873595213859864</v>
      </c>
      <c r="L11" s="241">
        <v>0</v>
      </c>
      <c r="M11" s="154">
        <v>127</v>
      </c>
      <c r="N11" s="243">
        <v>575.69399999999996</v>
      </c>
      <c r="O11" s="152">
        <f>N11/M11</f>
        <v>4.533023622047244</v>
      </c>
      <c r="P11" s="256">
        <f t="shared" si="1"/>
        <v>595.55544299999997</v>
      </c>
      <c r="Q11" s="244">
        <v>4.2999999999999997E-2</v>
      </c>
      <c r="R11" s="245">
        <v>0</v>
      </c>
      <c r="S11" s="281">
        <v>8635.4120000000003</v>
      </c>
      <c r="T11" s="41"/>
      <c r="U11" s="123"/>
      <c r="V11" s="32"/>
      <c r="W11" s="32"/>
      <c r="X11" s="32"/>
    </row>
    <row r="12" spans="1:24" x14ac:dyDescent="0.35">
      <c r="B12" s="10" t="s">
        <v>52</v>
      </c>
      <c r="C12" s="116"/>
      <c r="D12" s="156">
        <f>SUM(D8:D11)</f>
        <v>34810</v>
      </c>
      <c r="E12" s="157">
        <f>SUM(E8:E11)</f>
        <v>3534</v>
      </c>
      <c r="F12" s="157">
        <f t="shared" ref="F12:S12" si="2">SUM(F8:F11)</f>
        <v>45090</v>
      </c>
      <c r="G12" s="158">
        <f>F12/E12</f>
        <v>12.758913412563667</v>
      </c>
      <c r="H12" s="159">
        <f t="shared" si="2"/>
        <v>680.77100000000007</v>
      </c>
      <c r="I12" s="160">
        <f t="shared" si="2"/>
        <v>2318.1749999999997</v>
      </c>
      <c r="J12" s="161">
        <f>SUM(J8:J11)</f>
        <v>958.40099999999995</v>
      </c>
      <c r="K12" s="158">
        <f>J12/I12</f>
        <v>0.41342909832087743</v>
      </c>
      <c r="L12" s="156">
        <f t="shared" si="2"/>
        <v>1187.0239999999999</v>
      </c>
      <c r="M12" s="157">
        <f t="shared" si="2"/>
        <v>6470</v>
      </c>
      <c r="N12" s="157">
        <f>SUM(N8:N11)</f>
        <v>4476.16</v>
      </c>
      <c r="O12" s="158">
        <f>N12/M12</f>
        <v>0.69183307573415764</v>
      </c>
      <c r="P12" s="257">
        <f t="shared" si="2"/>
        <v>4630.58752</v>
      </c>
      <c r="Q12" s="162">
        <f t="shared" si="2"/>
        <v>0.21899999999999997</v>
      </c>
      <c r="R12" s="157">
        <f t="shared" si="2"/>
        <v>2690.3379999999997</v>
      </c>
      <c r="S12" s="157">
        <f t="shared" si="2"/>
        <v>42266.615999999995</v>
      </c>
      <c r="T12" s="36"/>
      <c r="U12" s="124"/>
      <c r="V12" s="35"/>
      <c r="W12" s="35"/>
      <c r="X12" s="35"/>
    </row>
    <row r="13" spans="1:24" x14ac:dyDescent="0.35">
      <c r="B13" s="66"/>
      <c r="C13" s="115"/>
      <c r="D13" s="163"/>
      <c r="E13" s="164"/>
      <c r="F13" s="164"/>
      <c r="G13" s="165"/>
      <c r="H13" s="166"/>
      <c r="I13" s="167"/>
      <c r="J13" s="167"/>
      <c r="K13" s="165"/>
      <c r="L13" s="270"/>
      <c r="M13" s="164"/>
      <c r="N13" s="164"/>
      <c r="O13" s="165"/>
      <c r="P13" s="258"/>
      <c r="Q13" s="164"/>
      <c r="R13" s="168"/>
      <c r="S13" s="169"/>
      <c r="T13" s="38"/>
      <c r="U13" s="125"/>
      <c r="V13" s="38"/>
      <c r="W13" s="38"/>
      <c r="X13" s="38"/>
    </row>
    <row r="14" spans="1:24" x14ac:dyDescent="0.35">
      <c r="B14" s="10" t="s">
        <v>53</v>
      </c>
      <c r="C14" s="116" t="s">
        <v>54</v>
      </c>
      <c r="D14" s="170"/>
      <c r="E14" s="171"/>
      <c r="F14" s="171"/>
      <c r="G14" s="172"/>
      <c r="H14" s="173"/>
      <c r="I14" s="161"/>
      <c r="J14" s="161"/>
      <c r="K14" s="172"/>
      <c r="L14" s="156"/>
      <c r="M14" s="171"/>
      <c r="N14" s="174"/>
      <c r="O14" s="191"/>
      <c r="P14" s="259"/>
      <c r="Q14" s="174"/>
      <c r="R14" s="175"/>
      <c r="S14" s="176"/>
      <c r="T14" s="36"/>
      <c r="U14" s="124"/>
      <c r="V14" s="35"/>
      <c r="W14" s="35"/>
      <c r="X14" s="35"/>
    </row>
    <row r="15" spans="1:24" x14ac:dyDescent="0.35">
      <c r="B15" s="83" t="s">
        <v>55</v>
      </c>
      <c r="C15" s="128" t="s">
        <v>56</v>
      </c>
      <c r="D15" s="282">
        <v>12</v>
      </c>
      <c r="E15" s="69">
        <v>135</v>
      </c>
      <c r="F15" s="276">
        <v>18</v>
      </c>
      <c r="G15" s="152">
        <f>F15/E15</f>
        <v>0.13333333333333333</v>
      </c>
      <c r="H15" s="238">
        <v>600.71500000000003</v>
      </c>
      <c r="I15" s="153">
        <v>1686.6849999999999</v>
      </c>
      <c r="J15" s="280">
        <v>910.18100000000004</v>
      </c>
      <c r="K15" s="152">
        <f>J15/I15</f>
        <v>0.53962713844019483</v>
      </c>
      <c r="L15" s="233">
        <v>660.87300000000005</v>
      </c>
      <c r="M15" s="154">
        <v>3021</v>
      </c>
      <c r="N15" s="243">
        <v>863.53300000000002</v>
      </c>
      <c r="O15" s="152">
        <f>N15/M15</f>
        <v>0.28584342932803708</v>
      </c>
      <c r="P15" s="256">
        <f>N15*1.0345</f>
        <v>893.32488850000004</v>
      </c>
      <c r="Q15" s="254">
        <v>0.17</v>
      </c>
      <c r="R15" s="245">
        <v>9909.1190000000006</v>
      </c>
      <c r="S15" s="281">
        <v>12835.576999999999</v>
      </c>
      <c r="T15" s="33"/>
      <c r="U15" s="123"/>
      <c r="V15" s="34"/>
      <c r="W15" s="32"/>
      <c r="X15" s="32"/>
    </row>
    <row r="16" spans="1:24" ht="29" x14ac:dyDescent="0.35">
      <c r="B16" s="83" t="s">
        <v>57</v>
      </c>
      <c r="C16" s="128" t="s">
        <v>58</v>
      </c>
      <c r="D16" s="282">
        <v>18</v>
      </c>
      <c r="E16" s="69">
        <v>280</v>
      </c>
      <c r="F16" s="276">
        <v>26</v>
      </c>
      <c r="G16" s="155">
        <f>F16/E16</f>
        <v>9.285714285714286E-2</v>
      </c>
      <c r="H16" s="238">
        <v>391.99</v>
      </c>
      <c r="I16" s="153">
        <v>1548.271</v>
      </c>
      <c r="J16" s="280">
        <v>556.75900000000001</v>
      </c>
      <c r="K16" s="152">
        <f>J16/I16</f>
        <v>0.35960048337790995</v>
      </c>
      <c r="L16" s="233">
        <v>773.05</v>
      </c>
      <c r="M16" s="178">
        <v>5286</v>
      </c>
      <c r="N16" s="243">
        <v>1776.7750000000001</v>
      </c>
      <c r="O16" s="152">
        <f>N16/M16</f>
        <v>0.33612845251608026</v>
      </c>
      <c r="P16" s="256">
        <f>N16*1.0345</f>
        <v>1838.0737375000001</v>
      </c>
      <c r="Q16" s="254">
        <v>0.42899999999999999</v>
      </c>
      <c r="R16" s="245">
        <v>9871.4719999999998</v>
      </c>
      <c r="S16" s="281">
        <v>24059.219000000001</v>
      </c>
      <c r="T16" s="41"/>
      <c r="U16" s="123"/>
      <c r="V16" s="34"/>
      <c r="W16" s="32"/>
      <c r="X16" s="32"/>
    </row>
    <row r="17" spans="2:39" s="12" customFormat="1" x14ac:dyDescent="0.35">
      <c r="B17" s="10" t="s">
        <v>59</v>
      </c>
      <c r="C17" s="116"/>
      <c r="D17" s="170">
        <f>SUM(D15:D16)</f>
        <v>30</v>
      </c>
      <c r="E17" s="171">
        <f t="shared" ref="E17:Q17" si="3">SUM(E15:E16)</f>
        <v>415</v>
      </c>
      <c r="F17" s="171">
        <f t="shared" si="3"/>
        <v>44</v>
      </c>
      <c r="G17" s="158">
        <f>F17/E17</f>
        <v>0.10602409638554217</v>
      </c>
      <c r="H17" s="159">
        <f t="shared" si="3"/>
        <v>992.70500000000004</v>
      </c>
      <c r="I17" s="160">
        <f t="shared" si="3"/>
        <v>3234.9560000000001</v>
      </c>
      <c r="J17" s="161">
        <f>SUM(J15:J16)</f>
        <v>1466.94</v>
      </c>
      <c r="K17" s="158">
        <f>J17/I17</f>
        <v>0.4534652094186134</v>
      </c>
      <c r="L17" s="156">
        <f t="shared" si="3"/>
        <v>1433.923</v>
      </c>
      <c r="M17" s="157">
        <f t="shared" si="3"/>
        <v>8307</v>
      </c>
      <c r="N17" s="157">
        <f>SUM(N15:N16)</f>
        <v>2640.308</v>
      </c>
      <c r="O17" s="158">
        <f>N17/M17</f>
        <v>0.31784133863007102</v>
      </c>
      <c r="P17" s="257">
        <f t="shared" si="3"/>
        <v>2731.3986260000001</v>
      </c>
      <c r="Q17" s="179">
        <f t="shared" si="3"/>
        <v>0.59899999999999998</v>
      </c>
      <c r="R17" s="157">
        <f>SUM(R15:R16)</f>
        <v>19780.591</v>
      </c>
      <c r="S17" s="157">
        <f>SUM(S15:S16)</f>
        <v>36894.796000000002</v>
      </c>
      <c r="T17" s="36"/>
      <c r="U17" s="124"/>
      <c r="V17" s="35"/>
      <c r="W17" s="35"/>
      <c r="X17" s="35"/>
      <c r="Y17"/>
      <c r="Z17"/>
      <c r="AA17"/>
      <c r="AB17"/>
      <c r="AC17"/>
      <c r="AD17"/>
      <c r="AE17"/>
      <c r="AF17"/>
      <c r="AG17"/>
      <c r="AH17"/>
      <c r="AI17"/>
      <c r="AJ17"/>
      <c r="AK17"/>
      <c r="AL17"/>
      <c r="AM17"/>
    </row>
    <row r="18" spans="2:39" x14ac:dyDescent="0.35">
      <c r="B18" s="66"/>
      <c r="C18" s="115"/>
      <c r="D18" s="163"/>
      <c r="E18" s="164"/>
      <c r="F18" s="164"/>
      <c r="G18" s="165"/>
      <c r="H18" s="166"/>
      <c r="I18" s="167"/>
      <c r="J18" s="167"/>
      <c r="K18" s="165"/>
      <c r="L18" s="270"/>
      <c r="M18" s="164"/>
      <c r="N18" s="164"/>
      <c r="O18" s="165"/>
      <c r="P18" s="258"/>
      <c r="Q18" s="164"/>
      <c r="R18" s="168"/>
      <c r="S18" s="169"/>
      <c r="T18" s="38"/>
      <c r="U18" s="125"/>
      <c r="V18" s="38"/>
      <c r="W18" s="38"/>
      <c r="X18" s="38"/>
    </row>
    <row r="19" spans="2:39" x14ac:dyDescent="0.35">
      <c r="B19" s="67" t="s">
        <v>60</v>
      </c>
      <c r="C19" s="139" t="s">
        <v>56</v>
      </c>
      <c r="D19" s="234">
        <v>0</v>
      </c>
      <c r="E19" s="69">
        <v>37</v>
      </c>
      <c r="F19" s="277">
        <f>D19</f>
        <v>0</v>
      </c>
      <c r="G19" s="155">
        <f>F19/E19</f>
        <v>0</v>
      </c>
      <c r="H19" s="239">
        <v>78.105000000000004</v>
      </c>
      <c r="I19" s="153">
        <v>503.63299999999998</v>
      </c>
      <c r="J19" s="280">
        <v>101.908</v>
      </c>
      <c r="K19" s="152">
        <f>J19/I19</f>
        <v>0.20234575573880187</v>
      </c>
      <c r="L19" s="233">
        <v>0</v>
      </c>
      <c r="M19" s="69">
        <v>453</v>
      </c>
      <c r="N19" s="243">
        <f t="shared" ref="N19" si="4">L19</f>
        <v>0</v>
      </c>
      <c r="O19" s="152">
        <f>N19/M19</f>
        <v>0</v>
      </c>
      <c r="P19" s="256">
        <f>N19*1.0345</f>
        <v>0</v>
      </c>
      <c r="Q19" s="254">
        <v>0</v>
      </c>
      <c r="R19" s="245">
        <v>0</v>
      </c>
      <c r="S19" s="281">
        <f t="shared" ref="S19" si="5">R19</f>
        <v>0</v>
      </c>
      <c r="T19" s="38"/>
      <c r="U19" s="123"/>
      <c r="V19" s="38"/>
      <c r="W19" s="38"/>
      <c r="X19" s="38"/>
    </row>
    <row r="20" spans="2:39" x14ac:dyDescent="0.35">
      <c r="B20" s="10" t="s">
        <v>61</v>
      </c>
      <c r="C20" s="116" t="s">
        <v>45</v>
      </c>
      <c r="D20" s="170"/>
      <c r="E20" s="171"/>
      <c r="F20" s="171"/>
      <c r="G20" s="172"/>
      <c r="H20" s="173"/>
      <c r="I20" s="181"/>
      <c r="J20" s="161"/>
      <c r="K20" s="255"/>
      <c r="L20" s="156"/>
      <c r="M20" s="171"/>
      <c r="N20" s="171"/>
      <c r="O20" s="172"/>
      <c r="P20" s="257"/>
      <c r="Q20" s="171"/>
      <c r="R20" s="175"/>
      <c r="S20" s="176"/>
      <c r="T20" s="36"/>
      <c r="U20" s="124"/>
      <c r="V20" s="35"/>
      <c r="W20" s="35"/>
      <c r="X20" s="35"/>
    </row>
    <row r="21" spans="2:39" x14ac:dyDescent="0.35">
      <c r="B21" s="286" t="s">
        <v>4</v>
      </c>
      <c r="C21" s="129" t="s">
        <v>62</v>
      </c>
      <c r="D21" s="283">
        <v>160</v>
      </c>
      <c r="E21" s="178">
        <v>1260</v>
      </c>
      <c r="F21" s="276">
        <v>1930</v>
      </c>
      <c r="G21" s="155">
        <f>F21/E21</f>
        <v>1.5317460317460319</v>
      </c>
      <c r="H21" s="240">
        <v>208.89500000000001</v>
      </c>
      <c r="I21" s="290">
        <v>417.334</v>
      </c>
      <c r="J21" s="280">
        <v>236.822</v>
      </c>
      <c r="K21" s="293">
        <f>(J21+J22)/I21</f>
        <v>0.5931627904747756</v>
      </c>
      <c r="L21" s="271"/>
      <c r="M21" s="182"/>
      <c r="N21" s="182"/>
      <c r="O21" s="263"/>
      <c r="P21" s="260"/>
      <c r="Q21" s="244">
        <v>3.31</v>
      </c>
      <c r="R21" s="272"/>
      <c r="S21" s="183"/>
      <c r="T21" s="33"/>
      <c r="U21" s="126"/>
      <c r="V21" s="34"/>
      <c r="W21" s="32"/>
      <c r="X21" s="32"/>
    </row>
    <row r="22" spans="2:39" x14ac:dyDescent="0.35">
      <c r="B22" s="287"/>
      <c r="C22" s="129" t="s">
        <v>63</v>
      </c>
      <c r="D22" s="283">
        <v>0</v>
      </c>
      <c r="E22" s="184" t="s">
        <v>5</v>
      </c>
      <c r="F22" s="276">
        <f>D22+1725</f>
        <v>1725</v>
      </c>
      <c r="G22" s="155" t="s">
        <v>5</v>
      </c>
      <c r="H22" s="240">
        <v>5.4029999999999996</v>
      </c>
      <c r="I22" s="289"/>
      <c r="J22" s="280">
        <v>10.725</v>
      </c>
      <c r="K22" s="292"/>
      <c r="L22" s="271"/>
      <c r="M22" s="182"/>
      <c r="N22" s="182"/>
      <c r="O22" s="263"/>
      <c r="P22" s="260"/>
      <c r="Q22" s="244">
        <v>0</v>
      </c>
      <c r="R22" s="272"/>
      <c r="S22" s="183"/>
      <c r="T22" s="33"/>
      <c r="U22" s="126"/>
      <c r="V22" s="34"/>
      <c r="W22" s="32"/>
      <c r="X22" s="32"/>
    </row>
    <row r="23" spans="2:39" s="54" customFormat="1" x14ac:dyDescent="0.35">
      <c r="B23" s="9" t="s">
        <v>64</v>
      </c>
      <c r="C23" s="140" t="s">
        <v>56</v>
      </c>
      <c r="D23" s="235">
        <v>3</v>
      </c>
      <c r="E23" s="180">
        <v>179</v>
      </c>
      <c r="F23" s="276">
        <v>6</v>
      </c>
      <c r="G23" s="155">
        <f>F23/E23</f>
        <v>3.3519553072625698E-2</v>
      </c>
      <c r="H23" s="240">
        <v>93.694999999999993</v>
      </c>
      <c r="I23" s="185">
        <v>747.14499999999998</v>
      </c>
      <c r="J23" s="280">
        <v>158.971</v>
      </c>
      <c r="K23" s="152">
        <f>J23/I23</f>
        <v>0.21277128268274567</v>
      </c>
      <c r="L23" s="241">
        <f>200.189/3.412</f>
        <v>58.672039859320044</v>
      </c>
      <c r="M23" s="151">
        <f>4363/3.412</f>
        <v>1278.7221570926142</v>
      </c>
      <c r="N23" s="243">
        <f>285.274/3.412</f>
        <v>83.609026963657683</v>
      </c>
      <c r="O23" s="152">
        <f>N23/M23</f>
        <v>6.5384826953930789E-2</v>
      </c>
      <c r="P23" s="256">
        <f>N23*1.0345</f>
        <v>86.493538393903876</v>
      </c>
      <c r="Q23" s="244">
        <v>1E-3</v>
      </c>
      <c r="R23" s="245">
        <f>3002.835/3.412</f>
        <v>880.08059788980074</v>
      </c>
      <c r="S23" s="281">
        <f>4417.2/3.412</f>
        <v>1294.6072684642438</v>
      </c>
      <c r="T23" s="58"/>
      <c r="U23" s="123"/>
      <c r="V23" s="57"/>
      <c r="W23" s="59"/>
      <c r="X23" s="59"/>
    </row>
    <row r="24" spans="2:39" x14ac:dyDescent="0.35">
      <c r="B24" s="10" t="s">
        <v>65</v>
      </c>
      <c r="C24" s="116"/>
      <c r="D24" s="170">
        <f>SUM(D21:D23)</f>
        <v>163</v>
      </c>
      <c r="E24" s="157">
        <f t="shared" ref="E24:R24" si="6">SUM(E21:E23)</f>
        <v>1439</v>
      </c>
      <c r="F24" s="157">
        <f t="shared" si="6"/>
        <v>3661</v>
      </c>
      <c r="G24" s="158">
        <f>F24/E24</f>
        <v>2.5441278665740099</v>
      </c>
      <c r="H24" s="159">
        <f t="shared" si="6"/>
        <v>307.99299999999999</v>
      </c>
      <c r="I24" s="160">
        <f t="shared" si="6"/>
        <v>1164.479</v>
      </c>
      <c r="J24" s="161">
        <f>SUM(J21:J23)</f>
        <v>406.51800000000003</v>
      </c>
      <c r="K24" s="158">
        <f>J24/I24</f>
        <v>0.34909860976453849</v>
      </c>
      <c r="L24" s="156">
        <f t="shared" si="6"/>
        <v>58.672039859320044</v>
      </c>
      <c r="M24" s="157">
        <f t="shared" si="6"/>
        <v>1278.7221570926142</v>
      </c>
      <c r="N24" s="157">
        <f t="shared" si="6"/>
        <v>83.609026963657683</v>
      </c>
      <c r="O24" s="158">
        <f>N24/M24</f>
        <v>6.5384826953930789E-2</v>
      </c>
      <c r="P24" s="257">
        <f t="shared" si="6"/>
        <v>86.493538393903876</v>
      </c>
      <c r="Q24" s="162">
        <f>SUM(Q21:Q23)</f>
        <v>3.3109999999999999</v>
      </c>
      <c r="R24" s="157">
        <f t="shared" si="6"/>
        <v>880.08059788980074</v>
      </c>
      <c r="S24" s="186">
        <f>SUM(S23)</f>
        <v>1294.6072684642438</v>
      </c>
      <c r="T24" s="36"/>
      <c r="U24" s="39"/>
      <c r="V24" s="39"/>
      <c r="W24" s="35"/>
      <c r="X24" s="35"/>
    </row>
    <row r="25" spans="2:39" x14ac:dyDescent="0.35">
      <c r="B25" s="66"/>
      <c r="C25" s="115"/>
      <c r="D25" s="163"/>
      <c r="E25" s="164"/>
      <c r="F25" s="164"/>
      <c r="G25" s="165"/>
      <c r="H25" s="166"/>
      <c r="I25" s="167"/>
      <c r="J25" s="167"/>
      <c r="K25" s="165"/>
      <c r="L25" s="270"/>
      <c r="M25" s="164"/>
      <c r="N25" s="164"/>
      <c r="O25" s="165"/>
      <c r="P25" s="258"/>
      <c r="Q25" s="164"/>
      <c r="R25" s="168"/>
      <c r="S25" s="169"/>
      <c r="T25" s="38"/>
      <c r="U25" s="38"/>
      <c r="V25" s="38"/>
      <c r="W25" s="38"/>
      <c r="X25" s="38"/>
    </row>
    <row r="26" spans="2:39" x14ac:dyDescent="0.35">
      <c r="B26" s="67" t="s">
        <v>66</v>
      </c>
      <c r="C26" s="139" t="s">
        <v>56</v>
      </c>
      <c r="D26" s="235">
        <v>2</v>
      </c>
      <c r="E26" s="184">
        <v>37</v>
      </c>
      <c r="F26" s="278">
        <v>9</v>
      </c>
      <c r="G26" s="155">
        <f>F26/E26</f>
        <v>0.24324324324324326</v>
      </c>
      <c r="H26" s="240">
        <v>40.817</v>
      </c>
      <c r="I26" s="266">
        <v>311.2</v>
      </c>
      <c r="J26" s="280">
        <v>126.39700000000001</v>
      </c>
      <c r="K26" s="152">
        <f>J26/I26</f>
        <v>0.40616002570694093</v>
      </c>
      <c r="L26" s="241">
        <v>8.6219999999999999</v>
      </c>
      <c r="M26" s="187" t="s">
        <v>5</v>
      </c>
      <c r="N26" s="243">
        <v>18.516999999999999</v>
      </c>
      <c r="O26" s="264" t="s">
        <v>5</v>
      </c>
      <c r="P26" s="256">
        <f>N26*1.0345</f>
        <v>19.155836499999999</v>
      </c>
      <c r="Q26" s="254">
        <v>1.5E-3</v>
      </c>
      <c r="R26" s="245">
        <v>139.71899999999999</v>
      </c>
      <c r="S26" s="281">
        <v>322.37</v>
      </c>
      <c r="T26" s="38"/>
      <c r="U26" s="123"/>
      <c r="V26" s="38"/>
      <c r="W26" s="38"/>
      <c r="X26" s="38"/>
    </row>
    <row r="27" spans="2:39" x14ac:dyDescent="0.35">
      <c r="B27" s="10" t="s">
        <v>67</v>
      </c>
      <c r="C27" s="141"/>
      <c r="D27" s="188"/>
      <c r="E27" s="189"/>
      <c r="F27" s="189"/>
      <c r="G27" s="190"/>
      <c r="H27" s="267">
        <v>0.98799999999999999</v>
      </c>
      <c r="I27" s="268"/>
      <c r="J27" s="269">
        <v>2.4700000000000002</v>
      </c>
      <c r="K27" s="191"/>
      <c r="L27" s="188"/>
      <c r="M27" s="189"/>
      <c r="N27" s="189"/>
      <c r="O27" s="190"/>
      <c r="P27" s="261"/>
      <c r="Q27" s="192"/>
      <c r="R27" s="189"/>
      <c r="S27" s="193"/>
      <c r="T27" s="36"/>
      <c r="U27" s="35"/>
      <c r="V27" s="35"/>
      <c r="W27" s="35"/>
      <c r="X27" s="35"/>
    </row>
    <row r="28" spans="2:39" ht="15" thickBot="1" x14ac:dyDescent="0.4">
      <c r="B28" s="18" t="s">
        <v>68</v>
      </c>
      <c r="C28" s="142"/>
      <c r="D28" s="194">
        <f>+D12+D17+D19+D24+D26</f>
        <v>35005</v>
      </c>
      <c r="E28" s="195">
        <f>+E12+E17+E19+E24+E26</f>
        <v>5462</v>
      </c>
      <c r="F28" s="195">
        <f>+F12+F17+F19+F24+F26</f>
        <v>48804</v>
      </c>
      <c r="G28" s="196">
        <f>F28/E28</f>
        <v>8.9351885756133278</v>
      </c>
      <c r="H28" s="197">
        <f>+H12+H17+H19+H24+H27+H26</f>
        <v>2101.3789999999999</v>
      </c>
      <c r="I28" s="198">
        <f>+I12+I17+I19+I24+I27+I26</f>
        <v>7532.4429999999993</v>
      </c>
      <c r="J28" s="198">
        <f>J12+J17+J19+J24+J27+J26</f>
        <v>3062.6339999999996</v>
      </c>
      <c r="K28" s="199">
        <f>J28/I28</f>
        <v>0.40659238974659351</v>
      </c>
      <c r="L28" s="194">
        <f>+L12+L17+L19+L26+L24</f>
        <v>2688.2410398593202</v>
      </c>
      <c r="M28" s="195">
        <f>+M12+M17+M19+M24</f>
        <v>16508.722157092616</v>
      </c>
      <c r="N28" s="195">
        <f>+N12+N17+N19+N24+N26</f>
        <v>7218.5940269636576</v>
      </c>
      <c r="O28" s="265">
        <f>N28/M28</f>
        <v>0.43725940495414689</v>
      </c>
      <c r="P28" s="262">
        <f>+P12+P17+P19+P24+P26</f>
        <v>7467.635520893904</v>
      </c>
      <c r="Q28" s="201">
        <f>+Q12+Q17+Q19+Q24+Q26</f>
        <v>4.1304999999999996</v>
      </c>
      <c r="R28" s="200">
        <f>+R12+R17+R19+R24+R26</f>
        <v>23490.728597889803</v>
      </c>
      <c r="S28" s="200">
        <f>+S12+S17+S19+S24+S26</f>
        <v>80778.389268464234</v>
      </c>
      <c r="T28" s="36"/>
      <c r="U28" s="35"/>
      <c r="V28" s="35"/>
      <c r="W28" s="35"/>
      <c r="X28" s="35"/>
    </row>
    <row r="29" spans="2:39" ht="16.5" x14ac:dyDescent="0.35">
      <c r="B29" s="20" t="s">
        <v>69</v>
      </c>
      <c r="C29" s="12"/>
      <c r="D29" s="12"/>
      <c r="E29" s="12"/>
      <c r="F29" s="12"/>
      <c r="G29" s="12"/>
      <c r="H29" s="12"/>
      <c r="I29" s="12"/>
      <c r="J29" s="12"/>
      <c r="K29" s="12"/>
      <c r="L29" s="12"/>
      <c r="M29" s="12"/>
      <c r="N29" s="12"/>
      <c r="O29" s="12"/>
      <c r="P29" s="12"/>
      <c r="Q29" s="12"/>
      <c r="R29" s="12"/>
      <c r="S29" s="12"/>
      <c r="T29" s="13"/>
      <c r="U29" s="12"/>
      <c r="V29" s="12"/>
      <c r="W29" s="14"/>
      <c r="X29" s="14"/>
      <c r="Y29" s="12"/>
      <c r="Z29" s="12"/>
      <c r="AA29" s="12"/>
      <c r="AB29" s="12"/>
      <c r="AC29" s="12"/>
      <c r="AD29" s="12"/>
      <c r="AE29" s="12"/>
      <c r="AF29" s="12"/>
      <c r="AG29" s="12"/>
      <c r="AH29" s="12"/>
      <c r="AI29" s="12"/>
      <c r="AJ29" s="12"/>
      <c r="AK29" s="12"/>
      <c r="AL29" s="12"/>
      <c r="AM29" s="12"/>
    </row>
    <row r="30" spans="2:39" ht="16" x14ac:dyDescent="0.35">
      <c r="B30" s="121" t="s">
        <v>70</v>
      </c>
      <c r="C30" s="12"/>
      <c r="D30" s="12"/>
      <c r="E30" s="12"/>
      <c r="F30" s="12"/>
      <c r="G30" s="12"/>
      <c r="H30" s="12"/>
      <c r="I30" s="12"/>
      <c r="J30" s="12"/>
      <c r="K30" s="12"/>
      <c r="L30" s="136"/>
      <c r="M30" s="12"/>
      <c r="N30" s="12"/>
      <c r="O30" s="12"/>
      <c r="P30" s="12"/>
      <c r="Q30" s="12"/>
      <c r="R30" s="12"/>
      <c r="S30" s="12"/>
      <c r="T30" s="13"/>
      <c r="U30" s="12"/>
      <c r="V30" s="12"/>
      <c r="W30" s="14"/>
      <c r="X30" s="14"/>
      <c r="Y30" s="12"/>
      <c r="Z30" s="12"/>
      <c r="AA30" s="12"/>
      <c r="AB30" s="12"/>
      <c r="AC30" s="12"/>
      <c r="AD30" s="12"/>
      <c r="AE30" s="12"/>
      <c r="AF30" s="12"/>
      <c r="AG30" s="12"/>
      <c r="AH30" s="12"/>
      <c r="AI30" s="12"/>
      <c r="AJ30" s="12"/>
      <c r="AK30" s="12"/>
      <c r="AL30" s="12"/>
      <c r="AM30" s="12"/>
    </row>
    <row r="31" spans="2:39" x14ac:dyDescent="0.35">
      <c r="B31" t="s">
        <v>71</v>
      </c>
      <c r="J31" s="230"/>
      <c r="K31" s="230"/>
    </row>
    <row r="32" spans="2:39" x14ac:dyDescent="0.35">
      <c r="B32" t="s">
        <v>72</v>
      </c>
      <c r="N32" s="3"/>
    </row>
    <row r="33" spans="2:14" x14ac:dyDescent="0.35">
      <c r="B33" t="s">
        <v>73</v>
      </c>
      <c r="N33" s="3"/>
    </row>
    <row r="34" spans="2:14" x14ac:dyDescent="0.35">
      <c r="B34" t="s">
        <v>74</v>
      </c>
      <c r="H34" s="122"/>
      <c r="J34" s="122"/>
      <c r="L34" s="127"/>
    </row>
    <row r="35" spans="2:14" x14ac:dyDescent="0.35">
      <c r="H35" s="122"/>
      <c r="I35" s="122"/>
      <c r="J35" s="122"/>
    </row>
    <row r="36" spans="2:14" x14ac:dyDescent="0.35">
      <c r="K36" s="63"/>
      <c r="L36" s="285"/>
    </row>
    <row r="38" spans="2:14" x14ac:dyDescent="0.35">
      <c r="G38" t="s">
        <v>75</v>
      </c>
    </row>
  </sheetData>
  <mergeCells count="12">
    <mergeCell ref="D4:G4"/>
    <mergeCell ref="H4:K4"/>
    <mergeCell ref="B10:B11"/>
    <mergeCell ref="L4:S4"/>
    <mergeCell ref="B8:B9"/>
    <mergeCell ref="M8:M9"/>
    <mergeCell ref="O8:O9"/>
    <mergeCell ref="B21:B22"/>
    <mergeCell ref="I8:I9"/>
    <mergeCell ref="I21:I22"/>
    <mergeCell ref="K8:K9"/>
    <mergeCell ref="K21:K22"/>
  </mergeCells>
  <pageMargins left="0.25" right="0.25" top="0.75" bottom="0.75" header="0.3" footer="0.3"/>
  <pageSetup scale="24" fitToHeight="0" orientation="landscape" r:id="rId1"/>
  <headerFooter>
    <oddFooter>&amp;C_x000D_&amp;1#&amp;"Calibri"&amp;22&amp;K0073CF INTERNAL</oddFooter>
  </headerFooter>
  <ignoredErrors>
    <ignoredError sqref="K12 K17 K24"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O23"/>
  <sheetViews>
    <sheetView topLeftCell="B3" zoomScaleNormal="100" zoomScaleSheetLayoutView="100" workbookViewId="0">
      <selection activeCell="C31" sqref="C31"/>
    </sheetView>
  </sheetViews>
  <sheetFormatPr defaultColWidth="9.453125" defaultRowHeight="14.5" x14ac:dyDescent="0.35"/>
  <cols>
    <col min="1" max="1" width="4.453125" customWidth="1"/>
    <col min="2" max="2" width="32" customWidth="1"/>
    <col min="3" max="3" width="64.5429687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15" ht="23.5" x14ac:dyDescent="0.55000000000000004">
      <c r="A1" s="1" t="s">
        <v>8</v>
      </c>
      <c r="K1" s="33"/>
      <c r="N1" s="32"/>
      <c r="O1" s="32"/>
    </row>
    <row r="2" spans="1:15" x14ac:dyDescent="0.35">
      <c r="K2" s="33"/>
      <c r="N2" s="32"/>
      <c r="O2" s="32"/>
    </row>
    <row r="3" spans="1:15" ht="19" thickBot="1" x14ac:dyDescent="0.5">
      <c r="A3" s="5"/>
      <c r="B3" s="5" t="s">
        <v>9</v>
      </c>
      <c r="C3" s="5"/>
      <c r="D3" s="5"/>
      <c r="E3" s="5"/>
      <c r="F3" s="5"/>
      <c r="G3" s="5"/>
      <c r="H3" s="5"/>
      <c r="K3" s="42"/>
      <c r="N3" s="32"/>
      <c r="O3" s="32"/>
    </row>
    <row r="4" spans="1:15" ht="43.4" customHeight="1" thickBot="1" x14ac:dyDescent="0.4">
      <c r="A4" t="s">
        <v>10</v>
      </c>
      <c r="B4" s="27"/>
      <c r="C4" s="27"/>
      <c r="D4" s="294" t="s">
        <v>6</v>
      </c>
      <c r="E4" s="294"/>
      <c r="F4" s="306" t="s">
        <v>76</v>
      </c>
      <c r="G4" s="307"/>
      <c r="H4" s="308" t="s">
        <v>12</v>
      </c>
      <c r="I4" s="309"/>
      <c r="K4" s="33"/>
      <c r="M4" s="40" t="s">
        <v>6</v>
      </c>
      <c r="N4" s="40"/>
      <c r="O4" s="40"/>
    </row>
    <row r="5" spans="1:15" ht="21" customHeight="1" thickBot="1" x14ac:dyDescent="0.4">
      <c r="B5" s="53"/>
      <c r="C5" s="27"/>
      <c r="D5" s="70" t="s">
        <v>13</v>
      </c>
      <c r="E5" s="71" t="s">
        <v>14</v>
      </c>
      <c r="F5" s="72" t="s">
        <v>15</v>
      </c>
      <c r="G5" s="73" t="s">
        <v>77</v>
      </c>
      <c r="H5" s="74" t="s">
        <v>17</v>
      </c>
      <c r="I5" s="75" t="s">
        <v>18</v>
      </c>
      <c r="K5" s="33"/>
      <c r="N5" s="32"/>
      <c r="O5" s="32"/>
    </row>
    <row r="6" spans="1:15" ht="52.5" customHeight="1" thickBot="1" x14ac:dyDescent="0.4">
      <c r="B6" s="76"/>
      <c r="C6" s="77"/>
      <c r="D6" s="310" t="s">
        <v>30</v>
      </c>
      <c r="E6" s="311"/>
      <c r="F6" s="312" t="s">
        <v>78</v>
      </c>
      <c r="G6" s="313"/>
      <c r="H6" s="304" t="s">
        <v>38</v>
      </c>
      <c r="I6" s="305"/>
      <c r="K6" s="33"/>
      <c r="N6" s="32"/>
      <c r="O6" s="32"/>
    </row>
    <row r="7" spans="1:15" ht="29.5" thickBot="1" x14ac:dyDescent="0.4">
      <c r="B7" s="86" t="s">
        <v>44</v>
      </c>
      <c r="C7" s="87" t="s">
        <v>45</v>
      </c>
      <c r="D7" s="88" t="s">
        <v>79</v>
      </c>
      <c r="E7" s="89" t="s">
        <v>80</v>
      </c>
      <c r="F7" s="88" t="s">
        <v>79</v>
      </c>
      <c r="G7" s="89" t="s">
        <v>80</v>
      </c>
      <c r="H7" s="88" t="s">
        <v>79</v>
      </c>
      <c r="I7" s="90" t="s">
        <v>80</v>
      </c>
      <c r="J7" s="35"/>
      <c r="K7" s="36"/>
      <c r="L7" s="35"/>
      <c r="M7" s="35"/>
      <c r="N7" s="35"/>
      <c r="O7" s="35"/>
    </row>
    <row r="8" spans="1:15" x14ac:dyDescent="0.35">
      <c r="B8" s="300" t="s">
        <v>81</v>
      </c>
      <c r="C8" s="130" t="s">
        <v>47</v>
      </c>
      <c r="D8" s="215">
        <v>0</v>
      </c>
      <c r="E8" s="137">
        <f>'Qtr Electric Master'!F8-D8</f>
        <v>7514</v>
      </c>
      <c r="F8" s="208">
        <f>D8/(D8+E8)*206.907</f>
        <v>0</v>
      </c>
      <c r="G8" s="284">
        <f>206.907-F8</f>
        <v>206.90700000000001</v>
      </c>
      <c r="H8" s="216">
        <f>D8/(D8+E8)*'Qtr Electric Master'!N8</f>
        <v>0</v>
      </c>
      <c r="I8" s="138">
        <f>'Qtr Electric Master'!N8-H8</f>
        <v>2145.529</v>
      </c>
      <c r="J8" s="32"/>
      <c r="K8" s="37"/>
      <c r="L8" s="32"/>
      <c r="M8" s="32"/>
      <c r="N8" s="32"/>
      <c r="O8" s="32"/>
    </row>
    <row r="9" spans="1:15" x14ac:dyDescent="0.35">
      <c r="B9" s="301"/>
      <c r="C9" s="131" t="s">
        <v>48</v>
      </c>
      <c r="D9" s="85" t="s">
        <v>56</v>
      </c>
      <c r="E9" s="132">
        <f>'Qtr Electric Master'!F9</f>
        <v>34060</v>
      </c>
      <c r="F9" s="203" t="s">
        <v>56</v>
      </c>
      <c r="G9" s="203">
        <v>0</v>
      </c>
      <c r="H9" s="85" t="s">
        <v>56</v>
      </c>
      <c r="I9" s="135">
        <f>'Qtr Electric Master'!N9</f>
        <v>1693</v>
      </c>
      <c r="J9" s="32"/>
      <c r="K9" s="37"/>
      <c r="L9" s="32"/>
      <c r="M9" s="32"/>
      <c r="N9" s="32"/>
      <c r="O9" s="32"/>
    </row>
    <row r="10" spans="1:15" x14ac:dyDescent="0.35">
      <c r="B10" s="298" t="s">
        <v>82</v>
      </c>
      <c r="C10" s="128" t="s">
        <v>50</v>
      </c>
      <c r="D10" s="69">
        <v>0</v>
      </c>
      <c r="E10" s="137">
        <f>'Qtr Electric Master'!F10-D10</f>
        <v>12</v>
      </c>
      <c r="F10" s="208">
        <f>D10/(D10+E10)*11.935</f>
        <v>0</v>
      </c>
      <c r="G10" s="202">
        <f>11.935-F10</f>
        <v>11.935</v>
      </c>
      <c r="H10" s="69">
        <v>0</v>
      </c>
      <c r="I10" s="138">
        <f>'Qtr Electric Master'!N10-H10</f>
        <v>61.936999999999998</v>
      </c>
      <c r="J10" s="32"/>
      <c r="K10" s="37"/>
      <c r="L10" s="32"/>
      <c r="M10" s="32"/>
      <c r="N10" s="32"/>
      <c r="O10" s="32"/>
    </row>
    <row r="11" spans="1:15" x14ac:dyDescent="0.35">
      <c r="B11" s="298"/>
      <c r="C11" s="128" t="s">
        <v>51</v>
      </c>
      <c r="D11" s="154">
        <f>'Qtr Electric Master'!F11</f>
        <v>3504</v>
      </c>
      <c r="E11" s="69" t="s">
        <v>56</v>
      </c>
      <c r="F11" s="207">
        <v>18.466000000000001</v>
      </c>
      <c r="G11" s="204" t="s">
        <v>56</v>
      </c>
      <c r="H11" s="154">
        <f>'Qtr Electric Master'!N11</f>
        <v>575.69399999999996</v>
      </c>
      <c r="I11" s="138" t="s">
        <v>56</v>
      </c>
      <c r="J11" s="32"/>
      <c r="K11" s="37"/>
      <c r="L11" s="32"/>
      <c r="M11" s="32"/>
      <c r="N11" s="32"/>
      <c r="O11" s="32"/>
    </row>
    <row r="12" spans="1:15" x14ac:dyDescent="0.35">
      <c r="B12" s="10" t="s">
        <v>52</v>
      </c>
      <c r="C12" s="11"/>
      <c r="D12" s="157">
        <f t="shared" ref="D12:H12" si="0">SUM(D8:D11)</f>
        <v>3504</v>
      </c>
      <c r="E12" s="157">
        <f t="shared" si="0"/>
        <v>41586</v>
      </c>
      <c r="F12" s="209">
        <f t="shared" si="0"/>
        <v>18.466000000000001</v>
      </c>
      <c r="G12" s="209">
        <f t="shared" si="0"/>
        <v>218.84200000000001</v>
      </c>
      <c r="H12" s="217">
        <f t="shared" si="0"/>
        <v>575.69399999999996</v>
      </c>
      <c r="I12" s="157">
        <f>SUM(I8:I11)</f>
        <v>3900.4659999999999</v>
      </c>
      <c r="J12" s="35"/>
      <c r="K12" s="36"/>
      <c r="L12" s="35"/>
      <c r="M12" s="35"/>
      <c r="N12" s="35"/>
      <c r="O12" s="35"/>
    </row>
    <row r="13" spans="1:15" x14ac:dyDescent="0.35">
      <c r="B13" s="66"/>
      <c r="C13" s="64"/>
      <c r="D13" s="168"/>
      <c r="E13" s="164"/>
      <c r="F13" s="210"/>
      <c r="G13" s="211"/>
      <c r="H13" s="164"/>
      <c r="I13" s="218"/>
      <c r="J13" s="38"/>
      <c r="K13" s="38"/>
      <c r="L13" s="38"/>
      <c r="M13" s="38"/>
      <c r="N13" s="38"/>
      <c r="O13" s="38"/>
    </row>
    <row r="14" spans="1:15" x14ac:dyDescent="0.35">
      <c r="B14" s="67" t="s">
        <v>7</v>
      </c>
      <c r="C14" s="65" t="s">
        <v>56</v>
      </c>
      <c r="D14" s="154">
        <v>0</v>
      </c>
      <c r="E14" s="69">
        <v>0</v>
      </c>
      <c r="F14" s="207">
        <v>0</v>
      </c>
      <c r="G14" s="204">
        <v>0</v>
      </c>
      <c r="H14" s="69">
        <v>0</v>
      </c>
      <c r="I14" s="134">
        <v>0</v>
      </c>
      <c r="J14" s="38"/>
      <c r="K14" s="38"/>
      <c r="L14" s="38"/>
      <c r="M14" s="38"/>
      <c r="N14" s="38"/>
      <c r="O14" s="38"/>
    </row>
    <row r="15" spans="1:15" x14ac:dyDescent="0.35">
      <c r="B15" s="10" t="s">
        <v>61</v>
      </c>
      <c r="C15" s="11" t="s">
        <v>45</v>
      </c>
      <c r="D15" s="157"/>
      <c r="E15" s="171"/>
      <c r="F15" s="209"/>
      <c r="G15" s="212"/>
      <c r="H15" s="171"/>
      <c r="I15" s="219"/>
      <c r="J15" s="35"/>
      <c r="K15" s="36"/>
      <c r="L15" s="35"/>
      <c r="M15" s="35"/>
      <c r="N15" s="35"/>
      <c r="O15" s="35"/>
    </row>
    <row r="16" spans="1:15" x14ac:dyDescent="0.35">
      <c r="B16" s="286" t="s">
        <v>4</v>
      </c>
      <c r="C16" s="129" t="s">
        <v>62</v>
      </c>
      <c r="D16" s="220">
        <v>0</v>
      </c>
      <c r="E16" s="133">
        <f>'Qtr Electric Master'!F21-'Qtr Electric LMI'!D16</f>
        <v>1930</v>
      </c>
      <c r="F16" s="208">
        <f>D16/(D16+E16)*60.5</f>
        <v>0</v>
      </c>
      <c r="G16" s="205">
        <f>60.35-F16</f>
        <v>60.35</v>
      </c>
      <c r="H16" s="85" t="s">
        <v>56</v>
      </c>
      <c r="I16" s="134" t="s">
        <v>56</v>
      </c>
      <c r="J16" s="34"/>
      <c r="K16" s="33"/>
      <c r="L16" s="34"/>
      <c r="M16" s="34"/>
      <c r="N16" s="32"/>
      <c r="O16" s="32"/>
    </row>
    <row r="17" spans="2:15" x14ac:dyDescent="0.35">
      <c r="B17" s="287"/>
      <c r="C17" s="129" t="s">
        <v>63</v>
      </c>
      <c r="D17" s="132" t="s">
        <v>56</v>
      </c>
      <c r="E17" s="132">
        <f>'Qtr Electric Master'!F22</f>
        <v>1725</v>
      </c>
      <c r="F17" s="206" t="s">
        <v>56</v>
      </c>
      <c r="G17" s="205">
        <v>0</v>
      </c>
      <c r="H17" s="85" t="s">
        <v>56</v>
      </c>
      <c r="I17" s="134" t="s">
        <v>56</v>
      </c>
      <c r="J17" s="34"/>
      <c r="K17" s="33"/>
      <c r="L17" s="34"/>
      <c r="M17" s="34"/>
      <c r="N17" s="32"/>
      <c r="O17" s="32"/>
    </row>
    <row r="18" spans="2:15" x14ac:dyDescent="0.35">
      <c r="B18" s="9" t="s">
        <v>1</v>
      </c>
      <c r="C18" s="61" t="s">
        <v>56</v>
      </c>
      <c r="D18" s="220">
        <v>0</v>
      </c>
      <c r="E18" s="133">
        <f>'Qtr Electric Master'!F23-'Qtr Electric LMI'!D18</f>
        <v>6</v>
      </c>
      <c r="F18" s="208">
        <f>D18/(D18+E18)*64.925</f>
        <v>0</v>
      </c>
      <c r="G18" s="205">
        <v>64.924999999999997</v>
      </c>
      <c r="H18" s="184">
        <v>0</v>
      </c>
      <c r="I18" s="134">
        <f>'Qtr Electric Master'!N23</f>
        <v>83.609026963657683</v>
      </c>
      <c r="J18" s="34"/>
      <c r="K18" s="33"/>
      <c r="L18" s="34"/>
      <c r="M18" s="34"/>
      <c r="N18" s="32"/>
      <c r="O18" s="32"/>
    </row>
    <row r="19" spans="2:15" x14ac:dyDescent="0.35">
      <c r="B19" s="10" t="s">
        <v>65</v>
      </c>
      <c r="C19" s="11"/>
      <c r="D19" s="157">
        <f t="shared" ref="D19:I19" si="1">SUM(D16:D18)</f>
        <v>0</v>
      </c>
      <c r="E19" s="157">
        <f t="shared" si="1"/>
        <v>3661</v>
      </c>
      <c r="F19" s="209">
        <f t="shared" si="1"/>
        <v>0</v>
      </c>
      <c r="G19" s="209">
        <f t="shared" si="1"/>
        <v>125.27500000000001</v>
      </c>
      <c r="H19" s="171">
        <f t="shared" si="1"/>
        <v>0</v>
      </c>
      <c r="I19" s="157">
        <f t="shared" si="1"/>
        <v>83.609026963657683</v>
      </c>
      <c r="J19" s="39"/>
      <c r="K19" s="36"/>
      <c r="L19" s="39"/>
      <c r="M19" s="39"/>
      <c r="N19" s="35"/>
      <c r="O19" s="35"/>
    </row>
    <row r="20" spans="2:15" x14ac:dyDescent="0.35">
      <c r="B20" s="66"/>
      <c r="C20" s="64"/>
      <c r="D20" s="168"/>
      <c r="E20" s="164"/>
      <c r="F20" s="210"/>
      <c r="G20" s="211"/>
      <c r="H20" s="164"/>
      <c r="I20" s="218"/>
      <c r="J20" s="38"/>
      <c r="K20" s="38"/>
      <c r="L20" s="38"/>
      <c r="M20" s="38"/>
      <c r="N20" s="38"/>
      <c r="O20" s="38"/>
    </row>
    <row r="21" spans="2:15" x14ac:dyDescent="0.35">
      <c r="B21" s="67" t="s">
        <v>83</v>
      </c>
      <c r="C21" s="65" t="s">
        <v>56</v>
      </c>
      <c r="D21" s="154">
        <f>'Qtr Electric Master'!F26</f>
        <v>9</v>
      </c>
      <c r="E21" s="69" t="s">
        <v>56</v>
      </c>
      <c r="F21" s="207">
        <v>70.593999999999994</v>
      </c>
      <c r="G21" s="204" t="s">
        <v>56</v>
      </c>
      <c r="H21" s="221">
        <f>'Qtr Electric Master'!N26</f>
        <v>18.516999999999999</v>
      </c>
      <c r="I21" s="134" t="s">
        <v>56</v>
      </c>
      <c r="J21" s="38"/>
      <c r="K21" s="38"/>
      <c r="L21" s="38"/>
      <c r="M21" s="38"/>
      <c r="N21" s="38"/>
      <c r="O21" s="38"/>
    </row>
    <row r="22" spans="2:15" ht="15" thickBot="1" x14ac:dyDescent="0.4">
      <c r="B22" s="18" t="s">
        <v>84</v>
      </c>
      <c r="C22" s="19"/>
      <c r="D22" s="222"/>
      <c r="E22" s="223"/>
      <c r="F22" s="213">
        <v>0</v>
      </c>
      <c r="G22" s="214">
        <v>0</v>
      </c>
      <c r="H22" s="224"/>
      <c r="I22" s="225"/>
      <c r="J22" s="35"/>
      <c r="K22" s="36"/>
      <c r="L22" s="35"/>
      <c r="M22" s="35"/>
      <c r="N22" s="35"/>
      <c r="O22" s="35"/>
    </row>
    <row r="23" spans="2:15" x14ac:dyDescent="0.35">
      <c r="B23" s="10" t="s">
        <v>68</v>
      </c>
      <c r="C23" s="11"/>
      <c r="D23" s="157">
        <f>+D12+D14+D19+D21</f>
        <v>3513</v>
      </c>
      <c r="E23" s="157">
        <f>+E12+E14+E19</f>
        <v>45247</v>
      </c>
      <c r="F23" s="209">
        <f>+F12+F14+F19+F21</f>
        <v>89.06</v>
      </c>
      <c r="G23" s="209">
        <f>+G12+G14+G19</f>
        <v>344.11700000000002</v>
      </c>
      <c r="H23" s="217">
        <f>+H12+H14+H19+H21</f>
        <v>594.21100000000001</v>
      </c>
      <c r="I23" s="157">
        <f>+I12+I14+I19</f>
        <v>3984.0750269636574</v>
      </c>
      <c r="J23" s="35"/>
      <c r="K23" s="36"/>
      <c r="L23" s="35"/>
      <c r="M23" s="35"/>
      <c r="N23" s="35"/>
      <c r="O23" s="35"/>
    </row>
  </sheetData>
  <mergeCells count="9">
    <mergeCell ref="H6:I6"/>
    <mergeCell ref="D4:E4"/>
    <mergeCell ref="F4:G4"/>
    <mergeCell ref="H4:I4"/>
    <mergeCell ref="B16:B17"/>
    <mergeCell ref="B8:B9"/>
    <mergeCell ref="B10:B11"/>
    <mergeCell ref="D6:E6"/>
    <mergeCell ref="F6:G6"/>
  </mergeCells>
  <pageMargins left="0.25" right="0.25" top="0.75" bottom="0.75" header="0.3" footer="0.3"/>
  <pageSetup scale="55" fitToHeight="0" orientation="landscape" r:id="rId1"/>
  <headerFooter>
    <oddFooter>&amp;C_x000D_&amp;1#&amp;"Calibri"&amp;22&amp;K0073CF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19"/>
  <sheetViews>
    <sheetView tabSelected="1" zoomScaleNormal="100" zoomScaleSheetLayoutView="100" workbookViewId="0">
      <selection activeCell="D23" sqref="D23"/>
    </sheetView>
  </sheetViews>
  <sheetFormatPr defaultColWidth="9.453125" defaultRowHeight="14.5" x14ac:dyDescent="0.35"/>
  <cols>
    <col min="1" max="1" width="4.453125" customWidth="1"/>
    <col min="2" max="2" width="41.453125" customWidth="1"/>
    <col min="3" max="3" width="65.45312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30" ht="23.5" x14ac:dyDescent="0.55000000000000004">
      <c r="A1" s="1" t="s">
        <v>8</v>
      </c>
      <c r="K1" s="33"/>
      <c r="N1" s="32"/>
      <c r="O1" s="32"/>
    </row>
    <row r="2" spans="1:30" x14ac:dyDescent="0.35">
      <c r="K2" s="33"/>
      <c r="N2" s="32"/>
      <c r="O2" s="32"/>
    </row>
    <row r="3" spans="1:30" ht="19" thickBot="1" x14ac:dyDescent="0.5">
      <c r="A3" s="5"/>
      <c r="B3" s="5" t="s">
        <v>9</v>
      </c>
      <c r="C3" s="5"/>
      <c r="D3" s="5"/>
      <c r="E3" s="5"/>
      <c r="F3" s="5"/>
      <c r="G3" s="5"/>
      <c r="H3" s="5"/>
      <c r="K3" s="42"/>
      <c r="N3" s="32"/>
      <c r="O3" s="32"/>
    </row>
    <row r="4" spans="1:30" ht="43.4" customHeight="1" thickBot="1" x14ac:dyDescent="0.4">
      <c r="A4" t="s">
        <v>10</v>
      </c>
      <c r="B4" s="53"/>
      <c r="C4" s="84"/>
      <c r="D4" s="294" t="s">
        <v>6</v>
      </c>
      <c r="E4" s="295"/>
      <c r="F4" s="306" t="s">
        <v>76</v>
      </c>
      <c r="G4" s="307"/>
      <c r="H4" s="308" t="s">
        <v>12</v>
      </c>
      <c r="I4" s="309"/>
      <c r="K4" s="33"/>
      <c r="M4" s="40" t="s">
        <v>6</v>
      </c>
      <c r="N4" s="40"/>
      <c r="O4" s="40"/>
    </row>
    <row r="5" spans="1:30" ht="21" customHeight="1" thickBot="1" x14ac:dyDescent="0.4">
      <c r="B5" s="51"/>
      <c r="C5" s="91"/>
      <c r="D5" s="60" t="s">
        <v>13</v>
      </c>
      <c r="E5" s="47" t="s">
        <v>14</v>
      </c>
      <c r="F5" s="49" t="s">
        <v>15</v>
      </c>
      <c r="G5" s="50" t="s">
        <v>77</v>
      </c>
      <c r="H5" s="46" t="s">
        <v>17</v>
      </c>
      <c r="I5" s="47" t="s">
        <v>18</v>
      </c>
      <c r="K5" s="33"/>
      <c r="N5" s="32"/>
      <c r="O5" s="32"/>
    </row>
    <row r="6" spans="1:30" ht="52.5" customHeight="1" thickBot="1" x14ac:dyDescent="0.4">
      <c r="B6" s="52"/>
      <c r="C6" s="92"/>
      <c r="D6" s="314" t="s">
        <v>30</v>
      </c>
      <c r="E6" s="315"/>
      <c r="F6" s="316" t="s">
        <v>78</v>
      </c>
      <c r="G6" s="317"/>
      <c r="H6" s="304" t="s">
        <v>38</v>
      </c>
      <c r="I6" s="305"/>
      <c r="K6" s="33"/>
      <c r="N6" s="32"/>
      <c r="O6" s="32"/>
    </row>
    <row r="7" spans="1:30" ht="29" x14ac:dyDescent="0.35">
      <c r="B7" s="78" t="s">
        <v>53</v>
      </c>
      <c r="C7" s="79" t="s">
        <v>54</v>
      </c>
      <c r="D7" s="80" t="s">
        <v>85</v>
      </c>
      <c r="E7" s="80" t="s">
        <v>86</v>
      </c>
      <c r="F7" s="80" t="s">
        <v>85</v>
      </c>
      <c r="G7" s="80" t="s">
        <v>86</v>
      </c>
      <c r="H7" s="80" t="s">
        <v>85</v>
      </c>
      <c r="I7" s="81" t="s">
        <v>86</v>
      </c>
      <c r="J7" s="35"/>
      <c r="K7" s="36"/>
      <c r="L7" s="35"/>
      <c r="M7" s="35"/>
      <c r="N7" s="35"/>
      <c r="O7" s="35"/>
    </row>
    <row r="8" spans="1:30" x14ac:dyDescent="0.35">
      <c r="B8" s="83" t="s">
        <v>87</v>
      </c>
      <c r="C8" s="62" t="s">
        <v>56</v>
      </c>
      <c r="D8" s="69">
        <f>'Qtr Electric Master'!F15</f>
        <v>18</v>
      </c>
      <c r="E8" s="69" t="s">
        <v>56</v>
      </c>
      <c r="F8" s="153">
        <v>608.94899999999996</v>
      </c>
      <c r="G8" s="177" t="s">
        <v>56</v>
      </c>
      <c r="H8" s="154">
        <f>'Qtr Electric Master'!N15</f>
        <v>863.53300000000002</v>
      </c>
      <c r="I8" s="48" t="s">
        <v>56</v>
      </c>
      <c r="J8" s="34"/>
      <c r="K8" s="33"/>
      <c r="L8" s="34"/>
      <c r="M8" s="34"/>
      <c r="N8" s="32"/>
      <c r="O8" s="32"/>
    </row>
    <row r="9" spans="1:30" ht="14.25" customHeight="1" x14ac:dyDescent="0.35">
      <c r="B9" s="83" t="s">
        <v>88</v>
      </c>
      <c r="C9" s="128" t="s">
        <v>58</v>
      </c>
      <c r="D9" s="69">
        <v>3</v>
      </c>
      <c r="E9" s="69">
        <f>'Qtr Electric Master'!F16-'Qtr Electric Business'!D9</f>
        <v>23</v>
      </c>
      <c r="F9" s="153">
        <f>(D9/(D9+E9))*233.21</f>
        <v>26.908846153846156</v>
      </c>
      <c r="G9" s="153">
        <f>233.21-'Qtr Electric Business'!F9</f>
        <v>206.30115384615385</v>
      </c>
      <c r="H9" s="154">
        <f>(D9/(D9+E9))*'Qtr Electric Master'!N16</f>
        <v>205.01250000000002</v>
      </c>
      <c r="I9" s="134">
        <f>'Qtr Electric Master'!N16-'Qtr Electric Business'!H9</f>
        <v>1571.7625</v>
      </c>
      <c r="J9" s="41"/>
      <c r="K9" s="41"/>
      <c r="L9" s="41"/>
      <c r="M9" s="34"/>
      <c r="N9" s="32"/>
      <c r="O9" s="32"/>
    </row>
    <row r="10" spans="1:30" s="12" customFormat="1" x14ac:dyDescent="0.35">
      <c r="B10" s="10" t="s">
        <v>59</v>
      </c>
      <c r="C10" s="116"/>
      <c r="D10" s="171">
        <f>SUM(D8:D9)</f>
        <v>21</v>
      </c>
      <c r="E10" s="171">
        <f>E9</f>
        <v>23</v>
      </c>
      <c r="F10" s="161">
        <f>SUM(F8:F9)</f>
        <v>635.85784615384614</v>
      </c>
      <c r="G10" s="160">
        <f>G9</f>
        <v>206.30115384615385</v>
      </c>
      <c r="H10" s="157">
        <f>SUM(H8:H9)</f>
        <v>1068.5454999999999</v>
      </c>
      <c r="I10" s="219">
        <f>I9</f>
        <v>1571.7625</v>
      </c>
      <c r="J10" s="35"/>
      <c r="K10" s="36"/>
      <c r="L10" s="35"/>
      <c r="M10" s="35"/>
      <c r="N10" s="35"/>
      <c r="O10" s="35"/>
      <c r="P10"/>
      <c r="Q10"/>
      <c r="R10"/>
      <c r="S10"/>
      <c r="T10"/>
      <c r="U10"/>
      <c r="V10"/>
      <c r="W10"/>
      <c r="X10"/>
      <c r="Y10"/>
      <c r="Z10"/>
      <c r="AA10"/>
      <c r="AB10"/>
      <c r="AC10"/>
      <c r="AD10"/>
    </row>
    <row r="11" spans="1:30" x14ac:dyDescent="0.35">
      <c r="B11" s="66"/>
      <c r="C11" s="115"/>
      <c r="D11" s="164"/>
      <c r="E11" s="164"/>
      <c r="F11" s="167"/>
      <c r="G11" s="167"/>
      <c r="H11" s="168"/>
      <c r="I11" s="218"/>
      <c r="J11" s="38"/>
      <c r="K11" s="38"/>
      <c r="L11" s="38"/>
      <c r="M11" s="38"/>
      <c r="N11" s="38"/>
      <c r="O11" s="38"/>
    </row>
    <row r="12" spans="1:30" x14ac:dyDescent="0.35">
      <c r="B12" s="82" t="s">
        <v>61</v>
      </c>
      <c r="C12" s="116" t="s">
        <v>45</v>
      </c>
      <c r="D12" s="171"/>
      <c r="E12" s="171"/>
      <c r="F12" s="161"/>
      <c r="G12" s="161"/>
      <c r="H12" s="157"/>
      <c r="I12" s="219"/>
      <c r="J12" s="35"/>
      <c r="K12" s="36"/>
      <c r="L12" s="35"/>
      <c r="M12" s="35"/>
      <c r="N12" s="35"/>
      <c r="O12" s="35"/>
    </row>
    <row r="13" spans="1:30" x14ac:dyDescent="0.35">
      <c r="B13" s="286" t="s">
        <v>4</v>
      </c>
      <c r="C13" s="129" t="s">
        <v>62</v>
      </c>
      <c r="D13" s="184">
        <v>0</v>
      </c>
      <c r="E13" s="178">
        <v>0</v>
      </c>
      <c r="F13" s="226">
        <v>0</v>
      </c>
      <c r="G13" s="226">
        <v>0</v>
      </c>
      <c r="H13" s="154">
        <v>0</v>
      </c>
      <c r="I13" s="134">
        <v>0</v>
      </c>
      <c r="J13" s="34"/>
      <c r="K13" s="33"/>
      <c r="L13" s="34"/>
      <c r="M13" s="34"/>
      <c r="N13" s="32"/>
      <c r="O13" s="32"/>
    </row>
    <row r="14" spans="1:30" x14ac:dyDescent="0.35">
      <c r="B14" s="287"/>
      <c r="C14" s="129" t="s">
        <v>63</v>
      </c>
      <c r="D14" s="184">
        <v>0</v>
      </c>
      <c r="E14" s="178">
        <v>0</v>
      </c>
      <c r="F14" s="226">
        <v>0</v>
      </c>
      <c r="G14" s="226">
        <v>0</v>
      </c>
      <c r="H14" s="154">
        <v>0</v>
      </c>
      <c r="I14" s="134">
        <v>0</v>
      </c>
      <c r="J14" s="34"/>
      <c r="K14" s="33"/>
      <c r="L14" s="34"/>
      <c r="M14" s="34"/>
      <c r="N14" s="32"/>
      <c r="O14" s="32"/>
    </row>
    <row r="15" spans="1:30" x14ac:dyDescent="0.35">
      <c r="B15" s="9" t="s">
        <v>64</v>
      </c>
      <c r="C15" s="61" t="s">
        <v>56</v>
      </c>
      <c r="D15" s="184">
        <v>0</v>
      </c>
      <c r="E15" s="178">
        <v>0</v>
      </c>
      <c r="F15" s="226">
        <v>0</v>
      </c>
      <c r="G15" s="226">
        <v>0</v>
      </c>
      <c r="H15" s="154">
        <v>0</v>
      </c>
      <c r="I15" s="134">
        <v>0</v>
      </c>
      <c r="J15" s="34"/>
      <c r="K15" s="33"/>
      <c r="L15" s="34"/>
      <c r="M15" s="34"/>
      <c r="N15" s="32"/>
      <c r="O15" s="32"/>
    </row>
    <row r="16" spans="1:30" x14ac:dyDescent="0.35">
      <c r="B16" s="10" t="s">
        <v>65</v>
      </c>
      <c r="C16" s="11"/>
      <c r="D16" s="171">
        <f t="shared" ref="D16:I16" si="0">SUM(D13:D15)</f>
        <v>0</v>
      </c>
      <c r="E16" s="157">
        <f t="shared" si="0"/>
        <v>0</v>
      </c>
      <c r="F16" s="161">
        <f t="shared" si="0"/>
        <v>0</v>
      </c>
      <c r="G16" s="161">
        <f t="shared" si="0"/>
        <v>0</v>
      </c>
      <c r="H16" s="157">
        <f t="shared" si="0"/>
        <v>0</v>
      </c>
      <c r="I16" s="219">
        <f t="shared" si="0"/>
        <v>0</v>
      </c>
      <c r="J16" s="39"/>
      <c r="K16" s="36"/>
      <c r="L16" s="39"/>
      <c r="M16" s="39"/>
      <c r="N16" s="35"/>
      <c r="O16" s="35"/>
    </row>
    <row r="17" spans="2:15" x14ac:dyDescent="0.35">
      <c r="B17" s="66"/>
      <c r="C17" s="64"/>
      <c r="D17" s="164"/>
      <c r="E17" s="164"/>
      <c r="F17" s="167"/>
      <c r="G17" s="167"/>
      <c r="H17" s="168"/>
      <c r="I17" s="218"/>
      <c r="J17" s="38"/>
      <c r="K17" s="38"/>
      <c r="L17" s="38"/>
      <c r="M17" s="38"/>
      <c r="N17" s="38"/>
      <c r="O17" s="38"/>
    </row>
    <row r="18" spans="2:15" ht="15" thickBot="1" x14ac:dyDescent="0.4">
      <c r="B18" s="18" t="s">
        <v>84</v>
      </c>
      <c r="C18" s="29"/>
      <c r="D18" s="227"/>
      <c r="E18" s="228"/>
      <c r="F18" s="229">
        <v>0</v>
      </c>
      <c r="G18" s="229">
        <v>0</v>
      </c>
      <c r="H18" s="222"/>
      <c r="I18" s="225"/>
      <c r="J18" s="35"/>
      <c r="K18" s="36"/>
      <c r="L18" s="35"/>
      <c r="M18" s="35"/>
      <c r="N18" s="35"/>
      <c r="O18" s="35"/>
    </row>
    <row r="19" spans="2:15" x14ac:dyDescent="0.35">
      <c r="B19" s="10" t="s">
        <v>68</v>
      </c>
      <c r="C19" s="11"/>
      <c r="D19" s="171">
        <f>+D10+D16</f>
        <v>21</v>
      </c>
      <c r="E19" s="171">
        <f>+E10+E16</f>
        <v>23</v>
      </c>
      <c r="F19" s="161">
        <f>F10+F16+F18</f>
        <v>635.85784615384614</v>
      </c>
      <c r="G19" s="161">
        <f>G10+G16+G18</f>
        <v>206.30115384615385</v>
      </c>
      <c r="H19" s="157">
        <f>+H10+H16</f>
        <v>1068.5454999999999</v>
      </c>
      <c r="I19" s="157">
        <f>+I10+I16</f>
        <v>1571.7625</v>
      </c>
      <c r="J19" s="35"/>
      <c r="K19" s="36"/>
      <c r="L19" s="35"/>
      <c r="M19" s="35"/>
      <c r="N19" s="35"/>
      <c r="O19" s="35"/>
    </row>
  </sheetData>
  <mergeCells count="7">
    <mergeCell ref="B13:B14"/>
    <mergeCell ref="D4:E4"/>
    <mergeCell ref="F4:G4"/>
    <mergeCell ref="H4:I4"/>
    <mergeCell ref="D6:E6"/>
    <mergeCell ref="F6:G6"/>
    <mergeCell ref="H6:I6"/>
  </mergeCells>
  <pageMargins left="0.25" right="0.25" top="0.75" bottom="0.75" header="0.3" footer="0.3"/>
  <pageSetup scale="55" fitToHeight="0" orientation="landscape" r:id="rId1"/>
  <headerFooter>
    <oddFooter>&amp;C_x000D_&amp;1#&amp;"Calibri"&amp;22&amp;K0073CF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selection activeCell="B13" sqref="B13"/>
    </sheetView>
  </sheetViews>
  <sheetFormatPr defaultRowHeight="14.5" x14ac:dyDescent="0.35"/>
  <cols>
    <col min="1" max="1" width="16.54296875" customWidth="1"/>
    <col min="2" max="2" width="16.1796875" customWidth="1"/>
    <col min="3" max="3" width="20.81640625" customWidth="1"/>
    <col min="4" max="4" width="34.453125" customWidth="1"/>
    <col min="5" max="5" width="20" customWidth="1"/>
    <col min="6" max="6" width="15.81640625" customWidth="1"/>
    <col min="7" max="7" width="16.54296875" customWidth="1"/>
    <col min="8" max="8" width="15.1796875" customWidth="1"/>
    <col min="9" max="9" width="11" customWidth="1"/>
    <col min="10" max="10" width="11.81640625" customWidth="1"/>
    <col min="11" max="11" width="11.453125" customWidth="1"/>
    <col min="12" max="12" width="12.453125" customWidth="1"/>
    <col min="13" max="13" width="13.453125" customWidth="1"/>
    <col min="15" max="15" width="34.54296875" customWidth="1"/>
  </cols>
  <sheetData>
    <row r="1" spans="1:13" ht="23.15" customHeight="1" x14ac:dyDescent="0.35">
      <c r="A1" t="s">
        <v>91</v>
      </c>
      <c r="B1" s="12" t="s">
        <v>92</v>
      </c>
    </row>
    <row r="2" spans="1:13" x14ac:dyDescent="0.35">
      <c r="A2" s="318" t="s">
        <v>93</v>
      </c>
      <c r="B2" s="318"/>
      <c r="C2" s="319"/>
      <c r="D2" s="93"/>
      <c r="E2" s="94" t="s">
        <v>94</v>
      </c>
      <c r="F2" s="320" t="s">
        <v>95</v>
      </c>
      <c r="G2" s="321"/>
      <c r="H2" s="322"/>
      <c r="I2" s="323" t="s">
        <v>96</v>
      </c>
      <c r="J2" s="324"/>
      <c r="K2" s="324"/>
      <c r="L2" s="324"/>
      <c r="M2" s="325"/>
    </row>
    <row r="3" spans="1:13" ht="72.5" x14ac:dyDescent="0.35">
      <c r="A3" s="95" t="s">
        <v>97</v>
      </c>
      <c r="B3" s="96" t="s">
        <v>98</v>
      </c>
      <c r="C3" s="97" t="s">
        <v>90</v>
      </c>
      <c r="D3" s="97" t="s">
        <v>54</v>
      </c>
      <c r="E3" s="98" t="s">
        <v>30</v>
      </c>
      <c r="F3" s="99" t="s">
        <v>99</v>
      </c>
      <c r="G3" s="99" t="s">
        <v>100</v>
      </c>
      <c r="H3" s="99" t="s">
        <v>101</v>
      </c>
      <c r="I3" s="100" t="s">
        <v>102</v>
      </c>
      <c r="J3" s="100" t="s">
        <v>103</v>
      </c>
      <c r="K3" s="101" t="s">
        <v>104</v>
      </c>
      <c r="L3" s="101" t="s">
        <v>105</v>
      </c>
      <c r="M3" s="101" t="s">
        <v>106</v>
      </c>
    </row>
    <row r="4" spans="1:13" x14ac:dyDescent="0.35">
      <c r="A4" s="102" t="s">
        <v>89</v>
      </c>
      <c r="B4" s="103" t="s">
        <v>3</v>
      </c>
      <c r="C4" s="102" t="s">
        <v>81</v>
      </c>
      <c r="D4" s="61" t="s">
        <v>107</v>
      </c>
      <c r="E4" s="112">
        <f>'Qtr Electric Master'!$F$8</f>
        <v>7514</v>
      </c>
      <c r="F4" s="105">
        <f>'Qtr Electric Master'!$I$8</f>
        <v>1293.4469999999999</v>
      </c>
      <c r="G4" s="106">
        <f>SUM('Qtr Electric LMI'!$F$8:$G$8)</f>
        <v>206.90700000000001</v>
      </c>
      <c r="H4" s="106">
        <f>'Qtr Electric Master'!$J$8</f>
        <v>689.029</v>
      </c>
      <c r="I4" s="107">
        <f>'Qtr Electric Master'!$N$8</f>
        <v>2145.529</v>
      </c>
      <c r="J4" s="107">
        <f>'Qtr Electric Master'!$S$8</f>
        <v>31245.54</v>
      </c>
      <c r="K4" s="113">
        <f>'Qtr Electric Master'!$Q$8</f>
        <v>0.17499999999999999</v>
      </c>
      <c r="L4" s="16"/>
      <c r="M4" s="16"/>
    </row>
    <row r="5" spans="1:13" x14ac:dyDescent="0.35">
      <c r="A5" s="102" t="s">
        <v>89</v>
      </c>
      <c r="B5" s="103" t="s">
        <v>3</v>
      </c>
      <c r="C5" s="102" t="s">
        <v>82</v>
      </c>
      <c r="D5" s="61" t="s">
        <v>108</v>
      </c>
      <c r="E5" s="112">
        <f>'Qtr Electric Master'!$F$10</f>
        <v>12</v>
      </c>
      <c r="F5" s="105">
        <f>'Qtr Electric Master'!$I$10</f>
        <v>687.755</v>
      </c>
      <c r="G5" s="106">
        <f>SUM('Qtr Electric LMI'!$F$10:$G$10)</f>
        <v>11.935</v>
      </c>
      <c r="H5" s="106">
        <f>'Qtr Electric Master'!$J$10</f>
        <v>187.64599999999999</v>
      </c>
      <c r="I5" s="107">
        <f>'Qtr Electric Master'!$N$10</f>
        <v>61.936999999999998</v>
      </c>
      <c r="J5" s="107">
        <f>'Qtr Electric Master'!$S$10</f>
        <v>692.66399999999999</v>
      </c>
      <c r="K5" s="113">
        <f>'Qtr Electric Master'!$Q$10</f>
        <v>1E-3</v>
      </c>
      <c r="L5" s="16"/>
      <c r="M5" s="16"/>
    </row>
    <row r="6" spans="1:13" x14ac:dyDescent="0.35">
      <c r="A6" s="102" t="s">
        <v>89</v>
      </c>
      <c r="B6" s="103" t="s">
        <v>3</v>
      </c>
      <c r="C6" s="102" t="s">
        <v>82</v>
      </c>
      <c r="D6" s="61" t="s">
        <v>51</v>
      </c>
      <c r="E6" s="112">
        <f>'Qtr Electric Master'!$F$11</f>
        <v>3504</v>
      </c>
      <c r="F6" s="105">
        <f>'Qtr Electric Master'!$I$11</f>
        <v>336.97300000000001</v>
      </c>
      <c r="G6" s="106">
        <f>SUM('Qtr Electric LMI'!$F$11:$G$11)</f>
        <v>18.466000000000001</v>
      </c>
      <c r="H6" s="106">
        <f>'Qtr Electric Master'!$J$11</f>
        <v>50.12</v>
      </c>
      <c r="I6" s="107">
        <f>'Qtr Electric Master'!$N$11</f>
        <v>575.69399999999996</v>
      </c>
      <c r="J6" s="107">
        <f>'Qtr Electric Master'!$S$11</f>
        <v>8635.4120000000003</v>
      </c>
      <c r="K6" s="113">
        <f>'Qtr Electric Master'!$Q$11</f>
        <v>4.2999999999999997E-2</v>
      </c>
      <c r="L6" s="16"/>
      <c r="M6" s="16"/>
    </row>
    <row r="7" spans="1:13" x14ac:dyDescent="0.35">
      <c r="A7" s="102" t="s">
        <v>89</v>
      </c>
      <c r="B7" s="103" t="s">
        <v>109</v>
      </c>
      <c r="C7" s="102" t="s">
        <v>110</v>
      </c>
      <c r="D7" s="61" t="s">
        <v>110</v>
      </c>
      <c r="E7" s="104">
        <f>'Qtr Electric Master'!$F$15</f>
        <v>18</v>
      </c>
      <c r="F7" s="105">
        <f>'Qtr Electric Master'!$I$15</f>
        <v>1686.6849999999999</v>
      </c>
      <c r="G7" s="106">
        <f>'Qtr Electric Business'!$F$8</f>
        <v>608.94899999999996</v>
      </c>
      <c r="H7" s="106">
        <f>'Qtr Electric Master'!$J$15</f>
        <v>910.18100000000004</v>
      </c>
      <c r="I7" s="107">
        <f>'Qtr Electric Master'!$N$15</f>
        <v>863.53300000000002</v>
      </c>
      <c r="J7" s="107">
        <f>'Qtr Electric Master'!$S$15</f>
        <v>12835.576999999999</v>
      </c>
      <c r="K7" s="113">
        <f>'Qtr Electric Master'!$Q$15</f>
        <v>0.17</v>
      </c>
      <c r="L7" s="16"/>
      <c r="M7" s="16"/>
    </row>
    <row r="8" spans="1:13" x14ac:dyDescent="0.35">
      <c r="A8" s="102" t="s">
        <v>89</v>
      </c>
      <c r="B8" s="103" t="s">
        <v>109</v>
      </c>
      <c r="C8" s="102" t="s">
        <v>111</v>
      </c>
      <c r="D8" s="61" t="s">
        <v>112</v>
      </c>
      <c r="E8" s="104">
        <f>'Qtr Electric Master'!$F$16</f>
        <v>26</v>
      </c>
      <c r="F8" s="105">
        <f>'Qtr Electric Master'!$I$16</f>
        <v>1548.271</v>
      </c>
      <c r="G8" s="106">
        <f>SUM('Qtr Electric Business'!$F$9:$G$9)</f>
        <v>233.21</v>
      </c>
      <c r="H8" s="106">
        <f>'Qtr Electric Master'!$J$16</f>
        <v>556.75900000000001</v>
      </c>
      <c r="I8" s="107">
        <f>'Qtr Electric Master'!$N$16</f>
        <v>1776.7750000000001</v>
      </c>
      <c r="J8" s="107">
        <f>'Qtr Electric Master'!$S$16</f>
        <v>24059.219000000001</v>
      </c>
      <c r="K8" s="113">
        <f>'Qtr Electric Master'!$Q$16</f>
        <v>0.42899999999999999</v>
      </c>
      <c r="L8" s="16"/>
      <c r="M8" s="16"/>
    </row>
    <row r="9" spans="1:13" x14ac:dyDescent="0.35">
      <c r="A9" s="102" t="s">
        <v>89</v>
      </c>
      <c r="B9" s="103" t="s">
        <v>7</v>
      </c>
      <c r="C9" s="102" t="s">
        <v>7</v>
      </c>
      <c r="D9" s="61" t="s">
        <v>108</v>
      </c>
      <c r="E9" s="104">
        <f>'Qtr Electric Master'!$F$19</f>
        <v>0</v>
      </c>
      <c r="F9" s="105">
        <f>'Qtr Electric Master'!$I$19</f>
        <v>503.63299999999998</v>
      </c>
      <c r="G9" s="106" t="e">
        <f>SUM('Qtr Electric Business'!#REF!)</f>
        <v>#REF!</v>
      </c>
      <c r="H9" s="106">
        <f>'Qtr Electric Master'!$J$19</f>
        <v>101.908</v>
      </c>
      <c r="I9" s="107">
        <f>'Qtr Electric Master'!$N$19</f>
        <v>0</v>
      </c>
      <c r="J9" s="107">
        <f>'Qtr Electric Master'!$S$19</f>
        <v>0</v>
      </c>
      <c r="K9" s="113">
        <f>'Qtr Electric Master'!$Q$19</f>
        <v>0</v>
      </c>
      <c r="L9" s="16"/>
      <c r="M9" s="16"/>
    </row>
    <row r="10" spans="1:13" x14ac:dyDescent="0.35">
      <c r="A10" s="102" t="s">
        <v>89</v>
      </c>
      <c r="B10" s="103" t="s">
        <v>113</v>
      </c>
      <c r="C10" s="102" t="s">
        <v>4</v>
      </c>
      <c r="D10" s="61" t="s">
        <v>114</v>
      </c>
      <c r="E10" s="104">
        <f>'Qtr Electric Master'!$F$21</f>
        <v>1930</v>
      </c>
      <c r="F10" s="105">
        <f>'Qtr Electric Master'!$I$21</f>
        <v>417.334</v>
      </c>
      <c r="G10" s="106">
        <f>SUM('Qtr Electric Business'!$F$13:$G$13)</f>
        <v>0</v>
      </c>
      <c r="H10" s="106">
        <f>'Qtr Electric Master'!$J$21</f>
        <v>236.822</v>
      </c>
      <c r="I10" s="107">
        <f>'Qtr Electric Master'!$N$21</f>
        <v>0</v>
      </c>
      <c r="J10" s="107">
        <f>'Qtr Electric Master'!$S$21</f>
        <v>0</v>
      </c>
      <c r="K10" s="113">
        <f>'Qtr Electric Master'!$Q$21</f>
        <v>3.31</v>
      </c>
      <c r="L10" s="16"/>
      <c r="M10" s="16"/>
    </row>
    <row r="11" spans="1:13" x14ac:dyDescent="0.35">
      <c r="A11" s="102" t="s">
        <v>89</v>
      </c>
      <c r="B11" s="103" t="s">
        <v>113</v>
      </c>
      <c r="C11" s="102" t="s">
        <v>64</v>
      </c>
      <c r="D11" s="61" t="s">
        <v>64</v>
      </c>
      <c r="E11" s="104">
        <f>'Qtr Electric Master'!$F$23</f>
        <v>6</v>
      </c>
      <c r="F11" s="105">
        <f>'Qtr Electric Master'!$I$23</f>
        <v>747.14499999999998</v>
      </c>
      <c r="G11" s="106">
        <f>SUM('Qtr Electric Business'!$F$15:$G$15)</f>
        <v>0</v>
      </c>
      <c r="H11" s="106">
        <f>'Qtr Electric Master'!$J$23</f>
        <v>158.971</v>
      </c>
      <c r="I11" s="107">
        <f>'Qtr Electric Master'!$N$23</f>
        <v>83.609026963657683</v>
      </c>
      <c r="J11" s="107">
        <f>'Qtr Electric Master'!$S$23</f>
        <v>1294.6072684642438</v>
      </c>
      <c r="K11" s="113">
        <f>'Qtr Electric Master'!$Q$23</f>
        <v>1E-3</v>
      </c>
      <c r="L11" s="16"/>
      <c r="M11" s="16"/>
    </row>
    <row r="12" spans="1:13" x14ac:dyDescent="0.35">
      <c r="A12" s="102" t="s">
        <v>89</v>
      </c>
      <c r="B12" s="103" t="s">
        <v>3</v>
      </c>
      <c r="C12" s="102" t="s">
        <v>2</v>
      </c>
      <c r="D12" s="61" t="s">
        <v>2</v>
      </c>
      <c r="E12" s="104" t="e">
        <f>#REF!</f>
        <v>#REF!</v>
      </c>
      <c r="F12" s="105" t="e">
        <f>#REF!</f>
        <v>#REF!</v>
      </c>
      <c r="G12" s="106"/>
      <c r="H12" s="106" t="e">
        <f>#REF!</f>
        <v>#REF!</v>
      </c>
      <c r="I12" s="107" t="e">
        <f>#REF!</f>
        <v>#REF!</v>
      </c>
      <c r="J12" s="107"/>
      <c r="K12" s="107"/>
      <c r="L12" s="16"/>
      <c r="M12" s="16"/>
    </row>
    <row r="13" spans="1:13" x14ac:dyDescent="0.35">
      <c r="A13" s="102" t="s">
        <v>89</v>
      </c>
      <c r="B13" s="103"/>
      <c r="C13" s="102" t="s">
        <v>84</v>
      </c>
      <c r="D13" s="61"/>
      <c r="E13" s="104"/>
      <c r="F13" s="105">
        <f>'Qtr Electric Master'!$I$27</f>
        <v>0</v>
      </c>
      <c r="G13" s="106"/>
      <c r="H13" s="106">
        <f>'Qtr Electric Master'!$J$27</f>
        <v>2.4700000000000002</v>
      </c>
      <c r="I13" s="107"/>
      <c r="J13" s="107"/>
      <c r="K13" s="107"/>
      <c r="L13" s="16"/>
      <c r="M13" s="16"/>
    </row>
    <row r="14" spans="1:13" x14ac:dyDescent="0.35">
      <c r="A14" s="102"/>
      <c r="B14" s="103"/>
      <c r="C14" s="102"/>
      <c r="D14" s="61"/>
      <c r="E14" s="104"/>
      <c r="F14" s="105"/>
      <c r="G14" s="106"/>
      <c r="H14" s="106"/>
      <c r="I14" s="107"/>
      <c r="J14" s="107"/>
      <c r="K14" s="107"/>
      <c r="L14" s="16"/>
      <c r="M14" s="16"/>
    </row>
    <row r="15" spans="1:13" x14ac:dyDescent="0.35">
      <c r="A15" s="102"/>
      <c r="B15" s="103"/>
      <c r="C15" s="102"/>
      <c r="D15" s="120"/>
      <c r="F15" s="119"/>
      <c r="G15" s="106"/>
      <c r="H15" s="106"/>
      <c r="I15" s="107"/>
      <c r="J15" s="107"/>
      <c r="K15" s="107"/>
      <c r="L15" s="16"/>
      <c r="M15" s="16"/>
    </row>
    <row r="16" spans="1:13" x14ac:dyDescent="0.35">
      <c r="A16" s="102"/>
      <c r="B16" s="103"/>
      <c r="C16" s="102"/>
      <c r="D16" s="16"/>
      <c r="E16" s="104"/>
      <c r="F16" s="105"/>
      <c r="G16" s="106"/>
      <c r="H16" s="106"/>
      <c r="I16" s="107"/>
      <c r="J16" s="107"/>
      <c r="K16" s="107"/>
      <c r="L16" s="16"/>
      <c r="M16" s="16"/>
    </row>
    <row r="17" spans="1:13" x14ac:dyDescent="0.35">
      <c r="A17" s="102"/>
      <c r="B17" s="103"/>
      <c r="C17" s="102"/>
      <c r="D17" s="16"/>
      <c r="E17" s="104"/>
      <c r="F17" s="105"/>
      <c r="G17" s="106"/>
      <c r="H17" s="106"/>
      <c r="I17" s="107"/>
      <c r="J17" s="107"/>
      <c r="K17" s="107"/>
      <c r="L17" s="16"/>
      <c r="M17" s="16"/>
    </row>
    <row r="18" spans="1:13" x14ac:dyDescent="0.35">
      <c r="A18" s="102"/>
      <c r="B18" s="103"/>
      <c r="C18" s="102"/>
      <c r="D18" s="16"/>
      <c r="E18" s="104"/>
      <c r="F18" s="105"/>
      <c r="G18" s="106"/>
      <c r="H18" s="106"/>
      <c r="I18" s="107"/>
      <c r="J18" s="107"/>
      <c r="K18" s="107"/>
      <c r="L18" s="16"/>
      <c r="M18" s="16"/>
    </row>
    <row r="19" spans="1:13" x14ac:dyDescent="0.35">
      <c r="A19" s="102"/>
      <c r="B19" s="103"/>
      <c r="C19" s="102"/>
      <c r="D19" s="16"/>
      <c r="E19" s="104"/>
      <c r="F19" s="105"/>
      <c r="G19" s="106"/>
      <c r="H19" s="106"/>
      <c r="I19" s="107"/>
      <c r="J19" s="107"/>
      <c r="K19" s="107"/>
      <c r="L19" s="16"/>
      <c r="M19" s="16"/>
    </row>
    <row r="20" spans="1:13" x14ac:dyDescent="0.35">
      <c r="A20" s="102"/>
      <c r="B20" s="103"/>
      <c r="C20" s="102"/>
      <c r="D20" s="61"/>
      <c r="E20" s="104"/>
      <c r="F20" s="105"/>
      <c r="G20" s="106"/>
      <c r="H20" s="106"/>
      <c r="I20" s="107"/>
      <c r="J20" s="107"/>
      <c r="K20" s="107"/>
      <c r="L20" s="16"/>
      <c r="M20" s="16"/>
    </row>
    <row r="21" spans="1:13" x14ac:dyDescent="0.35">
      <c r="A21" s="102"/>
      <c r="B21" s="103"/>
      <c r="C21" s="102"/>
      <c r="D21" s="61"/>
      <c r="E21" s="104"/>
      <c r="F21" s="105"/>
      <c r="G21" s="106"/>
      <c r="H21" s="106"/>
      <c r="I21" s="107"/>
      <c r="J21" s="107"/>
      <c r="K21" s="107"/>
      <c r="L21" s="16"/>
      <c r="M21" s="16"/>
    </row>
    <row r="22" spans="1:13" x14ac:dyDescent="0.35">
      <c r="A22" s="102"/>
      <c r="B22" s="103"/>
      <c r="C22" s="102"/>
      <c r="D22" s="61"/>
      <c r="E22" s="104"/>
      <c r="F22" s="105"/>
      <c r="G22" s="106"/>
      <c r="H22" s="106"/>
      <c r="I22" s="107"/>
      <c r="J22" s="107"/>
      <c r="K22" s="107"/>
      <c r="L22" s="16"/>
      <c r="M22" s="16"/>
    </row>
  </sheetData>
  <mergeCells count="3">
    <mergeCell ref="A2:C2"/>
    <mergeCell ref="F2:H2"/>
    <mergeCell ref="I2:M2"/>
  </mergeCells>
  <conditionalFormatting sqref="G4:H22">
    <cfRule type="expression" dxfId="0" priority="1">
      <formula>IF(#REF!&gt;1,TRUE,FALSE)</formula>
    </cfRule>
  </conditionalFormatting>
  <pageMargins left="0.7" right="0.7" top="0.75" bottom="0.75" header="0.3" footer="0.3"/>
  <pageSetup orientation="portrait" r:id="rId1"/>
  <headerFooter>
    <oddFooter>&amp;C_x000D_&amp;1#&amp;"Calibri"&amp;22&amp;K0073CF INTERNAL</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Lookup_Sheet!$A$18:$A$24</xm:f>
          </x14:formula1>
          <xm:sqref>A4:A22</xm:sqref>
        </x14:dataValidation>
        <x14:dataValidation type="list" allowBlank="1" showInputMessage="1" showErrorMessage="1">
          <x14:formula1>
            <xm:f>Lookup_Sheet!$A$2:$A$5</xm:f>
          </x14:formula1>
          <xm:sqref>B4:B22</xm:sqref>
        </x14:dataValidation>
        <x14:dataValidation type="list" allowBlank="1" showInputMessage="1">
          <x14:formula1>
            <xm:f>Lookup_Sheet!$A$8:$A$10</xm:f>
          </x14:formula1>
          <xm:sqref>C4:C22</xm:sqref>
        </x14:dataValidation>
        <x14:dataValidation type="list" allowBlank="1" showInputMessage="1">
          <x14:formula1>
            <xm:f>Lookup_Sheet!$A$13:$A$15</xm:f>
          </x14:formula1>
          <xm:sqref>D4:D22</xm:sqref>
        </x14:dataValidation>
        <x14:dataValidation type="list" allowBlank="1" showInputMessage="1" showErrorMessage="1">
          <x14:formula1>
            <xm:f>Lookup_Sheet!$A$28:$A$39</xm:f>
          </x14:formula1>
          <xm:sqref>B1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election activeCell="A20" sqref="A20"/>
    </sheetView>
  </sheetViews>
  <sheetFormatPr defaultRowHeight="14.5" x14ac:dyDescent="0.35"/>
  <cols>
    <col min="1" max="1" width="51.81640625" bestFit="1" customWidth="1"/>
    <col min="3" max="3" width="7.453125" bestFit="1" customWidth="1"/>
  </cols>
  <sheetData>
    <row r="1" spans="1:1" x14ac:dyDescent="0.35">
      <c r="A1" s="108" t="s">
        <v>98</v>
      </c>
    </row>
    <row r="2" spans="1:1" x14ac:dyDescent="0.35">
      <c r="A2" s="16" t="s">
        <v>3</v>
      </c>
    </row>
    <row r="3" spans="1:1" x14ac:dyDescent="0.35">
      <c r="A3" s="16" t="s">
        <v>109</v>
      </c>
    </row>
    <row r="4" spans="1:1" x14ac:dyDescent="0.35">
      <c r="A4" s="16" t="s">
        <v>7</v>
      </c>
    </row>
    <row r="5" spans="1:1" x14ac:dyDescent="0.35">
      <c r="A5" s="16" t="s">
        <v>113</v>
      </c>
    </row>
    <row r="7" spans="1:1" x14ac:dyDescent="0.35">
      <c r="A7" s="108" t="s">
        <v>90</v>
      </c>
    </row>
    <row r="8" spans="1:1" x14ac:dyDescent="0.35">
      <c r="A8" s="16" t="s">
        <v>81</v>
      </c>
    </row>
    <row r="9" spans="1:1" x14ac:dyDescent="0.35">
      <c r="A9" s="16" t="s">
        <v>110</v>
      </c>
    </row>
    <row r="10" spans="1:1" x14ac:dyDescent="0.35">
      <c r="A10" s="16" t="s">
        <v>7</v>
      </c>
    </row>
    <row r="12" spans="1:1" x14ac:dyDescent="0.35">
      <c r="A12" s="108" t="s">
        <v>54</v>
      </c>
    </row>
    <row r="13" spans="1:1" x14ac:dyDescent="0.35">
      <c r="A13" s="16" t="s">
        <v>108</v>
      </c>
    </row>
    <row r="14" spans="1:1" x14ac:dyDescent="0.35">
      <c r="A14" s="16" t="s">
        <v>115</v>
      </c>
    </row>
    <row r="15" spans="1:1" x14ac:dyDescent="0.35">
      <c r="A15" s="16" t="s">
        <v>110</v>
      </c>
    </row>
    <row r="17" spans="1:1" x14ac:dyDescent="0.35">
      <c r="A17" s="108" t="s">
        <v>116</v>
      </c>
    </row>
    <row r="18" spans="1:1" x14ac:dyDescent="0.35">
      <c r="A18" s="109" t="s">
        <v>117</v>
      </c>
    </row>
    <row r="19" spans="1:1" x14ac:dyDescent="0.35">
      <c r="A19" s="109" t="s">
        <v>118</v>
      </c>
    </row>
    <row r="20" spans="1:1" x14ac:dyDescent="0.35">
      <c r="A20" s="109" t="s">
        <v>119</v>
      </c>
    </row>
    <row r="21" spans="1:1" x14ac:dyDescent="0.35">
      <c r="A21" s="109" t="s">
        <v>120</v>
      </c>
    </row>
    <row r="22" spans="1:1" x14ac:dyDescent="0.35">
      <c r="A22" s="109" t="s">
        <v>121</v>
      </c>
    </row>
    <row r="23" spans="1:1" x14ac:dyDescent="0.35">
      <c r="A23" s="109" t="s">
        <v>89</v>
      </c>
    </row>
    <row r="24" spans="1:1" x14ac:dyDescent="0.35">
      <c r="A24" s="109" t="s">
        <v>122</v>
      </c>
    </row>
    <row r="27" spans="1:1" x14ac:dyDescent="0.35">
      <c r="A27" s="110" t="s">
        <v>123</v>
      </c>
    </row>
    <row r="28" spans="1:1" x14ac:dyDescent="0.35">
      <c r="A28" s="111" t="s">
        <v>124</v>
      </c>
    </row>
    <row r="29" spans="1:1" x14ac:dyDescent="0.35">
      <c r="A29" s="111" t="s">
        <v>125</v>
      </c>
    </row>
    <row r="30" spans="1:1" x14ac:dyDescent="0.35">
      <c r="A30" s="111" t="s">
        <v>126</v>
      </c>
    </row>
    <row r="31" spans="1:1" x14ac:dyDescent="0.35">
      <c r="A31" s="111" t="s">
        <v>92</v>
      </c>
    </row>
    <row r="32" spans="1:1" x14ac:dyDescent="0.35">
      <c r="A32" s="111" t="s">
        <v>127</v>
      </c>
    </row>
    <row r="33" spans="1:1" x14ac:dyDescent="0.35">
      <c r="A33" s="111" t="s">
        <v>128</v>
      </c>
    </row>
    <row r="34" spans="1:1" x14ac:dyDescent="0.35">
      <c r="A34" s="111" t="s">
        <v>129</v>
      </c>
    </row>
    <row r="35" spans="1:1" x14ac:dyDescent="0.35">
      <c r="A35" s="111" t="s">
        <v>130</v>
      </c>
    </row>
    <row r="36" spans="1:1" x14ac:dyDescent="0.35">
      <c r="A36" s="111" t="s">
        <v>131</v>
      </c>
    </row>
    <row r="37" spans="1:1" x14ac:dyDescent="0.35">
      <c r="A37" s="111" t="s">
        <v>132</v>
      </c>
    </row>
    <row r="38" spans="1:1" x14ac:dyDescent="0.35">
      <c r="A38" s="111" t="s">
        <v>133</v>
      </c>
    </row>
    <row r="39" spans="1:1" x14ac:dyDescent="0.35">
      <c r="A39" s="111" t="s">
        <v>134</v>
      </c>
    </row>
  </sheetData>
  <pageMargins left="0.7" right="0.7" top="0.75" bottom="0.75" header="0.3" footer="0.3"/>
  <headerFooter>
    <oddFooter>&amp;C_x000D_&amp;1#&amp;"Calibri"&amp;22&amp;K0073CF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4" ma:contentTypeDescription="Create a new document." ma:contentTypeScope="" ma:versionID="0406514fc74ea4e16b87bf593c53f6d9">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19f1bd9310a223dd1c29bfbeaf14a95b"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schemas.microsoft.com/office/2006/documentManagement/types"/>
    <ds:schemaRef ds:uri="http://schemas.microsoft.com/office/infopath/2007/PartnerControls"/>
    <ds:schemaRef ds:uri="ba291332-5843-45d8-bfc3-9844fb3e26da"/>
    <ds:schemaRef ds:uri="http://purl.org/dc/terms/"/>
    <ds:schemaRef ds:uri="http://schemas.microsoft.com/office/2006/metadata/properties"/>
    <ds:schemaRef ds:uri="http://schemas.openxmlformats.org/package/2006/metadata/core-properties"/>
    <ds:schemaRef ds:uri="http://purl.org/dc/elements/1.1/"/>
    <ds:schemaRef ds:uri="39c968e2-ee87-41b9-8fa8-4cd604c6e882"/>
    <ds:schemaRef ds:uri="http://www.w3.org/XML/1998/namespace"/>
    <ds:schemaRef ds:uri="http://purl.org/dc/dcmitype/"/>
  </ds:schemaRefs>
</ds:datastoreItem>
</file>

<file path=customXml/itemProps3.xml><?xml version="1.0" encoding="utf-8"?>
<ds:datastoreItem xmlns:ds="http://schemas.openxmlformats.org/officeDocument/2006/customXml" ds:itemID="{42EF1F58-235B-4025-8A55-434C4B13FD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Qtr Electric Master</vt:lpstr>
      <vt:lpstr>Qtr Electric LMI</vt:lpstr>
      <vt:lpstr>Qtr Electric Business</vt:lpstr>
      <vt:lpstr>RECO</vt:lpstr>
      <vt:lpstr>Lookup_Sheet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2024-05-29T18:31:18Z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c80150e9-b158-425e-97d7-738cc28226d7_Enabled">
    <vt:lpwstr>true</vt:lpwstr>
  </property>
  <property fmtid="{D5CDD505-2E9C-101B-9397-08002B2CF9AE}" pid="4" name="MSIP_Label_c80150e9-b158-425e-97d7-738cc28226d7_SetDate">
    <vt:lpwstr>2023-10-31T19:07:00Z</vt:lpwstr>
  </property>
  <property fmtid="{D5CDD505-2E9C-101B-9397-08002B2CF9AE}" pid="5" name="MSIP_Label_c80150e9-b158-425e-97d7-738cc28226d7_Method">
    <vt:lpwstr>Standard</vt:lpwstr>
  </property>
  <property fmtid="{D5CDD505-2E9C-101B-9397-08002B2CF9AE}" pid="6" name="MSIP_Label_c80150e9-b158-425e-97d7-738cc28226d7_Name">
    <vt:lpwstr>Internal - Privacy</vt:lpwstr>
  </property>
  <property fmtid="{D5CDD505-2E9C-101B-9397-08002B2CF9AE}" pid="7" name="MSIP_Label_c80150e9-b158-425e-97d7-738cc28226d7_SiteId">
    <vt:lpwstr>e9aef9b7-25ca-4518-a881-33e546773136</vt:lpwstr>
  </property>
  <property fmtid="{D5CDD505-2E9C-101B-9397-08002B2CF9AE}" pid="8" name="MSIP_Label_c80150e9-b158-425e-97d7-738cc28226d7_ActionId">
    <vt:lpwstr>e88797a7-3947-47d8-b37a-5db208c32ffa</vt:lpwstr>
  </property>
  <property fmtid="{D5CDD505-2E9C-101B-9397-08002B2CF9AE}" pid="9" name="MSIP_Label_c80150e9-b158-425e-97d7-738cc28226d7_ContentBits">
    <vt:lpwstr>2</vt:lpwstr>
  </property>
</Properties>
</file>