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wkna02\users\benrey\SRECs\Cost Cap\"/>
    </mc:Choice>
  </mc:AlternateContent>
  <bookViews>
    <workbookView xWindow="0" yWindow="0" windowWidth="8880" windowHeight="6350"/>
  </bookViews>
  <sheets>
    <sheet name="Cover Page &amp; Footnotes" sheetId="5" r:id="rId1"/>
    <sheet name="Cost Cap Tool" sheetId="7" r:id="rId2"/>
  </sheets>
  <definedNames>
    <definedName name="_xlnm._FilterDatabase" localSheetId="1" hidden="1">'Cost Cap Tool'!$A$5:$W$8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8" i="7" l="1"/>
  <c r="V78" i="7"/>
  <c r="S43" i="7"/>
  <c r="R42" i="7"/>
  <c r="P44" i="7"/>
  <c r="D46" i="7"/>
  <c r="C46" i="7"/>
  <c r="H17" i="7"/>
  <c r="G17" i="7"/>
  <c r="E19" i="7"/>
  <c r="D22" i="7"/>
  <c r="C13" i="7"/>
  <c r="H39" i="7"/>
  <c r="H40" i="7"/>
  <c r="H41" i="7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38" i="7"/>
  <c r="H54" i="7" l="1"/>
  <c r="H55" i="7" s="1"/>
  <c r="H56" i="7" s="1"/>
  <c r="H57" i="7" s="1"/>
  <c r="H58" i="7" s="1"/>
  <c r="H59" i="7" s="1"/>
  <c r="L38" i="7"/>
  <c r="M38" i="7" s="1"/>
  <c r="L39" i="7"/>
  <c r="M39" i="7" s="1"/>
  <c r="L40" i="7"/>
  <c r="L43" i="7"/>
  <c r="G15" i="7" s="1"/>
  <c r="L42" i="7"/>
  <c r="L41" i="7"/>
  <c r="K44" i="7"/>
  <c r="K45" i="7" s="1"/>
  <c r="K46" i="7" s="1"/>
  <c r="K47" i="7" s="1"/>
  <c r="L47" i="7" l="1"/>
  <c r="M47" i="7" s="1"/>
  <c r="K48" i="7"/>
  <c r="M43" i="7"/>
  <c r="L48" i="7" l="1"/>
  <c r="M48" i="7" s="1"/>
  <c r="K49" i="7"/>
  <c r="P69" i="7"/>
  <c r="P70" i="7" s="1"/>
  <c r="P71" i="7" s="1"/>
  <c r="P72" i="7" s="1"/>
  <c r="O68" i="7"/>
  <c r="S69" i="7" s="1"/>
  <c r="D72" i="7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E72" i="7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F72" i="7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G72" i="7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C72" i="7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M42" i="7"/>
  <c r="M41" i="7"/>
  <c r="I41" i="7"/>
  <c r="J41" i="7" s="1"/>
  <c r="M40" i="7"/>
  <c r="I40" i="7"/>
  <c r="J40" i="7" s="1"/>
  <c r="I39" i="7"/>
  <c r="J39" i="7" s="1"/>
  <c r="I38" i="7"/>
  <c r="J38" i="7" s="1"/>
  <c r="C39" i="7"/>
  <c r="C40" i="7" s="1"/>
  <c r="C41" i="7" s="1"/>
  <c r="C38" i="7"/>
  <c r="E31" i="7"/>
  <c r="F31" i="7"/>
  <c r="E30" i="7"/>
  <c r="F30" i="7"/>
  <c r="E29" i="7"/>
  <c r="F29" i="7"/>
  <c r="E28" i="7"/>
  <c r="F28" i="7"/>
  <c r="E27" i="7"/>
  <c r="F27" i="7"/>
  <c r="E26" i="7"/>
  <c r="F26" i="7"/>
  <c r="C25" i="7"/>
  <c r="E25" i="7" s="1"/>
  <c r="C24" i="7"/>
  <c r="C23" i="7"/>
  <c r="C22" i="7"/>
  <c r="C21" i="7"/>
  <c r="E21" i="7" s="1"/>
  <c r="C20" i="7"/>
  <c r="E20" i="7" s="1"/>
  <c r="C19" i="7"/>
  <c r="C18" i="7"/>
  <c r="E18" i="7" s="1"/>
  <c r="C17" i="7"/>
  <c r="E17" i="7" s="1"/>
  <c r="C16" i="7"/>
  <c r="E16" i="7" s="1"/>
  <c r="C15" i="7"/>
  <c r="E15" i="7" s="1"/>
  <c r="H15" i="7" s="1"/>
  <c r="C14" i="7"/>
  <c r="E13" i="7"/>
  <c r="H13" i="7" s="1"/>
  <c r="O12" i="7"/>
  <c r="O13" i="7" s="1"/>
  <c r="K12" i="7"/>
  <c r="K13" i="7" s="1"/>
  <c r="C12" i="7"/>
  <c r="E12" i="7" s="1"/>
  <c r="H12" i="7" s="1"/>
  <c r="L11" i="7"/>
  <c r="Q11" i="7" s="1"/>
  <c r="E11" i="7"/>
  <c r="H11" i="7" s="1"/>
  <c r="L10" i="7"/>
  <c r="Q10" i="7" s="1"/>
  <c r="E10" i="7"/>
  <c r="H10" i="7" s="1"/>
  <c r="O69" i="7" l="1"/>
  <c r="O70" i="7" s="1"/>
  <c r="Q71" i="7" s="1"/>
  <c r="Q69" i="7"/>
  <c r="R69" i="7"/>
  <c r="E14" i="7"/>
  <c r="H14" i="7" s="1"/>
  <c r="L49" i="7"/>
  <c r="K50" i="7"/>
  <c r="P73" i="7"/>
  <c r="M11" i="7"/>
  <c r="P11" i="7"/>
  <c r="D41" i="7"/>
  <c r="P41" i="7" s="1"/>
  <c r="P10" i="7"/>
  <c r="D39" i="7"/>
  <c r="P39" i="7" s="1"/>
  <c r="K14" i="7"/>
  <c r="L13" i="7"/>
  <c r="O14" i="7"/>
  <c r="N13" i="7"/>
  <c r="M10" i="7"/>
  <c r="L12" i="7"/>
  <c r="C42" i="7"/>
  <c r="N12" i="7"/>
  <c r="D40" i="7"/>
  <c r="P40" i="7" s="1"/>
  <c r="D23" i="7"/>
  <c r="E22" i="7"/>
  <c r="D38" i="7"/>
  <c r="P38" i="7" s="1"/>
  <c r="R38" i="7" l="1"/>
  <c r="Q70" i="7"/>
  <c r="R71" i="7"/>
  <c r="S70" i="7"/>
  <c r="S71" i="7"/>
  <c r="O71" i="7"/>
  <c r="O72" i="7" s="1"/>
  <c r="R70" i="7"/>
  <c r="R39" i="7"/>
  <c r="T69" i="7"/>
  <c r="M49" i="7"/>
  <c r="S72" i="7"/>
  <c r="K51" i="7"/>
  <c r="L50" i="7"/>
  <c r="M50" i="7" s="1"/>
  <c r="R72" i="7"/>
  <c r="I43" i="7"/>
  <c r="J43" i="7" s="1"/>
  <c r="I42" i="7"/>
  <c r="J42" i="7" s="1"/>
  <c r="D42" i="7" s="1"/>
  <c r="P74" i="7"/>
  <c r="C43" i="7"/>
  <c r="K15" i="7"/>
  <c r="L14" i="7"/>
  <c r="D24" i="7"/>
  <c r="E23" i="7"/>
  <c r="M12" i="7"/>
  <c r="Q12" i="7"/>
  <c r="P12" i="7"/>
  <c r="R40" i="7" s="1"/>
  <c r="I44" i="7"/>
  <c r="J44" i="7" s="1"/>
  <c r="Q13" i="7"/>
  <c r="M13" i="7"/>
  <c r="P13" i="7"/>
  <c r="O15" i="7"/>
  <c r="N14" i="7"/>
  <c r="T71" i="7" l="1"/>
  <c r="Q72" i="7"/>
  <c r="T72" i="7" s="1"/>
  <c r="T70" i="7"/>
  <c r="R41" i="7"/>
  <c r="K52" i="7"/>
  <c r="L51" i="7"/>
  <c r="M51" i="7" s="1"/>
  <c r="U68" i="7"/>
  <c r="V68" i="7" s="1"/>
  <c r="O73" i="7"/>
  <c r="S73" i="7"/>
  <c r="Q73" i="7"/>
  <c r="R73" i="7"/>
  <c r="E24" i="7"/>
  <c r="P42" i="7"/>
  <c r="P75" i="7"/>
  <c r="L44" i="7"/>
  <c r="M44" i="7" s="1"/>
  <c r="I45" i="7"/>
  <c r="J45" i="7" s="1"/>
  <c r="Q14" i="7"/>
  <c r="P14" i="7"/>
  <c r="M14" i="7"/>
  <c r="K16" i="7"/>
  <c r="L15" i="7"/>
  <c r="D43" i="7"/>
  <c r="P43" i="7" s="1"/>
  <c r="C44" i="7"/>
  <c r="L46" i="7"/>
  <c r="M46" i="7" s="1"/>
  <c r="L45" i="7"/>
  <c r="O16" i="7"/>
  <c r="N15" i="7"/>
  <c r="O74" i="7" l="1"/>
  <c r="S74" i="7"/>
  <c r="K53" i="7"/>
  <c r="L52" i="7"/>
  <c r="M52" i="7" s="1"/>
  <c r="Q74" i="7"/>
  <c r="R74" i="7"/>
  <c r="T73" i="7"/>
  <c r="U69" i="7"/>
  <c r="V69" i="7" s="1"/>
  <c r="M45" i="7"/>
  <c r="P76" i="7"/>
  <c r="S38" i="7"/>
  <c r="O17" i="7"/>
  <c r="N16" i="7"/>
  <c r="G16" i="7" s="1"/>
  <c r="H16" i="7" s="1"/>
  <c r="K17" i="7"/>
  <c r="L16" i="7"/>
  <c r="I46" i="7"/>
  <c r="J46" i="7" s="1"/>
  <c r="C45" i="7"/>
  <c r="D44" i="7"/>
  <c r="Q15" i="7"/>
  <c r="P15" i="7"/>
  <c r="R43" i="7" s="1"/>
  <c r="M15" i="7"/>
  <c r="K54" i="7" l="1"/>
  <c r="L53" i="7"/>
  <c r="M53" i="7" s="1"/>
  <c r="O75" i="7"/>
  <c r="S75" i="7"/>
  <c r="Q75" i="7"/>
  <c r="R75" i="7"/>
  <c r="T74" i="7"/>
  <c r="U70" i="7"/>
  <c r="V70" i="7" s="1"/>
  <c r="U71" i="7"/>
  <c r="P77" i="7"/>
  <c r="S39" i="7"/>
  <c r="S40" i="7" s="1"/>
  <c r="S41" i="7" s="1"/>
  <c r="D45" i="7"/>
  <c r="P45" i="7" s="1"/>
  <c r="O18" i="7"/>
  <c r="N17" i="7"/>
  <c r="K18" i="7"/>
  <c r="L17" i="7"/>
  <c r="Q16" i="7"/>
  <c r="P16" i="7"/>
  <c r="M16" i="7"/>
  <c r="I47" i="7"/>
  <c r="J47" i="7" s="1"/>
  <c r="R44" i="7" l="1"/>
  <c r="T75" i="7"/>
  <c r="U73" i="7"/>
  <c r="O76" i="7"/>
  <c r="S76" i="7"/>
  <c r="K55" i="7"/>
  <c r="L54" i="7"/>
  <c r="M54" i="7" s="1"/>
  <c r="R76" i="7"/>
  <c r="Q76" i="7"/>
  <c r="V71" i="7"/>
  <c r="U72" i="7"/>
  <c r="P78" i="7"/>
  <c r="S42" i="7"/>
  <c r="C47" i="7"/>
  <c r="P46" i="7"/>
  <c r="I48" i="7"/>
  <c r="J48" i="7" s="1"/>
  <c r="K19" i="7"/>
  <c r="L18" i="7"/>
  <c r="N18" i="7"/>
  <c r="G18" i="7" s="1"/>
  <c r="O19" i="7"/>
  <c r="Q17" i="7"/>
  <c r="P17" i="7"/>
  <c r="M17" i="7"/>
  <c r="R45" i="7"/>
  <c r="T76" i="7" l="1"/>
  <c r="K56" i="7"/>
  <c r="L55" i="7"/>
  <c r="M55" i="7" s="1"/>
  <c r="O77" i="7"/>
  <c r="S77" i="7"/>
  <c r="Q77" i="7"/>
  <c r="R77" i="7"/>
  <c r="V72" i="7"/>
  <c r="V73" i="7" s="1"/>
  <c r="P79" i="7"/>
  <c r="K20" i="7"/>
  <c r="L19" i="7"/>
  <c r="H18" i="7"/>
  <c r="C48" i="7"/>
  <c r="D47" i="7"/>
  <c r="P47" i="7" s="1"/>
  <c r="O20" i="7"/>
  <c r="N19" i="7"/>
  <c r="G19" i="7" s="1"/>
  <c r="I49" i="7"/>
  <c r="J49" i="7" s="1"/>
  <c r="M18" i="7"/>
  <c r="Q18" i="7"/>
  <c r="P18" i="7"/>
  <c r="R46" i="7" l="1"/>
  <c r="T77" i="7"/>
  <c r="O78" i="7"/>
  <c r="S78" i="7"/>
  <c r="K57" i="7"/>
  <c r="L56" i="7"/>
  <c r="M56" i="7" s="1"/>
  <c r="R78" i="7"/>
  <c r="Q78" i="7"/>
  <c r="U74" i="7"/>
  <c r="V74" i="7" s="1"/>
  <c r="P80" i="7"/>
  <c r="S44" i="7"/>
  <c r="H19" i="7"/>
  <c r="O21" i="7"/>
  <c r="N20" i="7"/>
  <c r="G20" i="7" s="1"/>
  <c r="K21" i="7"/>
  <c r="L20" i="7"/>
  <c r="I50" i="7"/>
  <c r="J50" i="7" s="1"/>
  <c r="M19" i="7"/>
  <c r="P19" i="7"/>
  <c r="Q19" i="7"/>
  <c r="D48" i="7"/>
  <c r="P48" i="7" s="1"/>
  <c r="C49" i="7"/>
  <c r="R47" i="7" l="1"/>
  <c r="K58" i="7"/>
  <c r="L57" i="7"/>
  <c r="M57" i="7" s="1"/>
  <c r="O79" i="7"/>
  <c r="S79" i="7"/>
  <c r="R79" i="7"/>
  <c r="Q79" i="7"/>
  <c r="U75" i="7"/>
  <c r="V75" i="7" s="1"/>
  <c r="P81" i="7"/>
  <c r="S45" i="7"/>
  <c r="H20" i="7"/>
  <c r="N21" i="7"/>
  <c r="G21" i="7" s="1"/>
  <c r="O22" i="7"/>
  <c r="C50" i="7"/>
  <c r="D50" i="7" s="1"/>
  <c r="D49" i="7"/>
  <c r="P49" i="7" s="1"/>
  <c r="I51" i="7"/>
  <c r="J51" i="7" s="1"/>
  <c r="K22" i="7"/>
  <c r="L21" i="7"/>
  <c r="Q20" i="7"/>
  <c r="M20" i="7"/>
  <c r="P20" i="7"/>
  <c r="R48" i="7" l="1"/>
  <c r="T79" i="7"/>
  <c r="O80" i="7"/>
  <c r="S80" i="7"/>
  <c r="K59" i="7"/>
  <c r="L59" i="7" s="1"/>
  <c r="M59" i="7" s="1"/>
  <c r="L58" i="7"/>
  <c r="M58" i="7" s="1"/>
  <c r="R80" i="7"/>
  <c r="Q80" i="7"/>
  <c r="T80" i="7" s="1"/>
  <c r="U76" i="7"/>
  <c r="V76" i="7" s="1"/>
  <c r="P82" i="7"/>
  <c r="S46" i="7"/>
  <c r="P21" i="7"/>
  <c r="Q21" i="7"/>
  <c r="M21" i="7"/>
  <c r="I52" i="7"/>
  <c r="J52" i="7" s="1"/>
  <c r="N22" i="7"/>
  <c r="G22" i="7" s="1"/>
  <c r="O23" i="7"/>
  <c r="L22" i="7"/>
  <c r="K23" i="7"/>
  <c r="H21" i="7"/>
  <c r="P50" i="7"/>
  <c r="C51" i="7"/>
  <c r="R49" i="7" l="1"/>
  <c r="U78" i="7"/>
  <c r="O81" i="7"/>
  <c r="S81" i="7"/>
  <c r="R81" i="7"/>
  <c r="Q81" i="7"/>
  <c r="U77" i="7"/>
  <c r="V77" i="7" s="1"/>
  <c r="P83" i="7"/>
  <c r="S47" i="7"/>
  <c r="D51" i="7"/>
  <c r="P51" i="7" s="1"/>
  <c r="C52" i="7"/>
  <c r="N23" i="7"/>
  <c r="G23" i="7" s="1"/>
  <c r="O24" i="7"/>
  <c r="H22" i="7"/>
  <c r="I53" i="7"/>
  <c r="J53" i="7" s="1"/>
  <c r="Q22" i="7"/>
  <c r="P22" i="7"/>
  <c r="M22" i="7"/>
  <c r="L23" i="7"/>
  <c r="K24" i="7"/>
  <c r="R50" i="7" l="1"/>
  <c r="T81" i="7"/>
  <c r="O82" i="7"/>
  <c r="S82" i="7"/>
  <c r="R82" i="7"/>
  <c r="Q82" i="7"/>
  <c r="P84" i="7"/>
  <c r="S48" i="7"/>
  <c r="O25" i="7"/>
  <c r="N24" i="7"/>
  <c r="G24" i="7" s="1"/>
  <c r="K25" i="7"/>
  <c r="L24" i="7"/>
  <c r="H23" i="7"/>
  <c r="Q23" i="7"/>
  <c r="P23" i="7"/>
  <c r="M23" i="7"/>
  <c r="I54" i="7"/>
  <c r="J54" i="7" s="1"/>
  <c r="C53" i="7"/>
  <c r="D52" i="7"/>
  <c r="P52" i="7" s="1"/>
  <c r="R51" i="7" l="1"/>
  <c r="O83" i="7"/>
  <c r="S83" i="7"/>
  <c r="R83" i="7"/>
  <c r="Q83" i="7"/>
  <c r="T82" i="7"/>
  <c r="U79" i="7"/>
  <c r="V79" i="7" s="1"/>
  <c r="P85" i="7"/>
  <c r="S49" i="7"/>
  <c r="O26" i="7"/>
  <c r="N25" i="7"/>
  <c r="G25" i="7" s="1"/>
  <c r="I55" i="7"/>
  <c r="J55" i="7" s="1"/>
  <c r="M24" i="7"/>
  <c r="Q24" i="7"/>
  <c r="P24" i="7"/>
  <c r="L25" i="7"/>
  <c r="K26" i="7"/>
  <c r="C54" i="7"/>
  <c r="D53" i="7"/>
  <c r="P53" i="7" s="1"/>
  <c r="H24" i="7"/>
  <c r="R52" i="7" l="1"/>
  <c r="O84" i="7"/>
  <c r="S84" i="7"/>
  <c r="U81" i="7"/>
  <c r="Q84" i="7"/>
  <c r="R84" i="7"/>
  <c r="T83" i="7"/>
  <c r="U80" i="7"/>
  <c r="V80" i="7" s="1"/>
  <c r="P86" i="7"/>
  <c r="S50" i="7"/>
  <c r="H25" i="7"/>
  <c r="O27" i="7"/>
  <c r="N26" i="7"/>
  <c r="G26" i="7" s="1"/>
  <c r="C55" i="7"/>
  <c r="D54" i="7"/>
  <c r="P54" i="7" s="1"/>
  <c r="L26" i="7"/>
  <c r="K27" i="7"/>
  <c r="Q25" i="7"/>
  <c r="M25" i="7"/>
  <c r="P25" i="7"/>
  <c r="I56" i="7"/>
  <c r="J56" i="7" s="1"/>
  <c r="R53" i="7" l="1"/>
  <c r="S51" i="7"/>
  <c r="V81" i="7"/>
  <c r="O85" i="7"/>
  <c r="S85" i="7"/>
  <c r="T84" i="7"/>
  <c r="Q85" i="7"/>
  <c r="R85" i="7"/>
  <c r="P87" i="7"/>
  <c r="Q26" i="7"/>
  <c r="P26" i="7"/>
  <c r="M26" i="7"/>
  <c r="H26" i="7"/>
  <c r="R54" i="7" s="1"/>
  <c r="O28" i="7"/>
  <c r="N27" i="7"/>
  <c r="G27" i="7" s="1"/>
  <c r="I57" i="7"/>
  <c r="J57" i="7" s="1"/>
  <c r="L27" i="7"/>
  <c r="K28" i="7"/>
  <c r="C56" i="7"/>
  <c r="D55" i="7"/>
  <c r="P55" i="7" s="1"/>
  <c r="O86" i="7" l="1"/>
  <c r="S86" i="7"/>
  <c r="Q86" i="7"/>
  <c r="R86" i="7"/>
  <c r="T85" i="7"/>
  <c r="U82" i="7"/>
  <c r="V82" i="7" s="1"/>
  <c r="P88" i="7"/>
  <c r="O29" i="7"/>
  <c r="N28" i="7"/>
  <c r="G28" i="7" s="1"/>
  <c r="I59" i="7"/>
  <c r="J59" i="7" s="1"/>
  <c r="I58" i="7"/>
  <c r="J58" i="7" s="1"/>
  <c r="L28" i="7"/>
  <c r="K29" i="7"/>
  <c r="Q27" i="7"/>
  <c r="P27" i="7"/>
  <c r="M27" i="7"/>
  <c r="S52" i="7"/>
  <c r="D56" i="7"/>
  <c r="P56" i="7" s="1"/>
  <c r="C57" i="7"/>
  <c r="H27" i="7"/>
  <c r="A11" i="5"/>
  <c r="A12" i="5" s="1"/>
  <c r="A13" i="5" s="1"/>
  <c r="A14" i="5" s="1"/>
  <c r="R55" i="7" l="1"/>
  <c r="O87" i="7"/>
  <c r="S87" i="7"/>
  <c r="R87" i="7"/>
  <c r="Q87" i="7"/>
  <c r="T86" i="7"/>
  <c r="U83" i="7"/>
  <c r="V83" i="7" s="1"/>
  <c r="S53" i="7"/>
  <c r="P89" i="7"/>
  <c r="Q28" i="7"/>
  <c r="M28" i="7"/>
  <c r="P28" i="7"/>
  <c r="H28" i="7"/>
  <c r="R56" i="7" s="1"/>
  <c r="O30" i="7"/>
  <c r="N29" i="7"/>
  <c r="G29" i="7" s="1"/>
  <c r="C58" i="7"/>
  <c r="D57" i="7"/>
  <c r="P57" i="7" s="1"/>
  <c r="L29" i="7"/>
  <c r="K30" i="7"/>
  <c r="T87" i="7" l="1"/>
  <c r="O88" i="7"/>
  <c r="S88" i="7"/>
  <c r="R88" i="7"/>
  <c r="Q88" i="7"/>
  <c r="T88" i="7" s="1"/>
  <c r="U84" i="7"/>
  <c r="V84" i="7" s="1"/>
  <c r="S54" i="7"/>
  <c r="Q29" i="7"/>
  <c r="P29" i="7"/>
  <c r="M29" i="7"/>
  <c r="D58" i="7"/>
  <c r="P58" i="7" s="1"/>
  <c r="C59" i="7"/>
  <c r="D59" i="7" s="1"/>
  <c r="P59" i="7" s="1"/>
  <c r="O31" i="7"/>
  <c r="N30" i="7"/>
  <c r="G30" i="7" s="1"/>
  <c r="H29" i="7"/>
  <c r="L30" i="7"/>
  <c r="K31" i="7"/>
  <c r="L31" i="7" s="1"/>
  <c r="R57" i="7" l="1"/>
  <c r="P31" i="7"/>
  <c r="O89" i="7"/>
  <c r="S89" i="7"/>
  <c r="R89" i="7"/>
  <c r="Q89" i="7"/>
  <c r="U85" i="7"/>
  <c r="V85" i="7" s="1"/>
  <c r="S55" i="7"/>
  <c r="Q31" i="7"/>
  <c r="M31" i="7"/>
  <c r="H30" i="7"/>
  <c r="Q30" i="7"/>
  <c r="P30" i="7"/>
  <c r="M30" i="7"/>
  <c r="N31" i="7"/>
  <c r="G31" i="7" s="1"/>
  <c r="T89" i="7" l="1"/>
  <c r="R58" i="7"/>
  <c r="U87" i="7"/>
  <c r="U86" i="7"/>
  <c r="V86" i="7" s="1"/>
  <c r="S56" i="7"/>
  <c r="S57" i="7" s="1"/>
  <c r="H31" i="7"/>
  <c r="R59" i="7" s="1"/>
  <c r="V87" i="7" l="1"/>
  <c r="U88" i="7"/>
  <c r="S58" i="7"/>
  <c r="V88" i="7" l="1"/>
  <c r="U89" i="7"/>
  <c r="S59" i="7"/>
  <c r="V89" i="7" l="1"/>
</calcChain>
</file>

<file path=xl/sharedStrings.xml><?xml version="1.0" encoding="utf-8"?>
<sst xmlns="http://schemas.openxmlformats.org/spreadsheetml/2006/main" count="123" uniqueCount="100">
  <si>
    <t>As a % of Solar ACP:</t>
  </si>
  <si>
    <t>Energy Year</t>
  </si>
  <si>
    <t>SACP
($/MWh)</t>
  </si>
  <si>
    <t>($)</t>
  </si>
  <si>
    <t>SREC</t>
  </si>
  <si>
    <t>(MWh)</t>
  </si>
  <si>
    <t>Solar</t>
  </si>
  <si>
    <t>Installed</t>
  </si>
  <si>
    <t>(MW)</t>
  </si>
  <si>
    <t>SREC Solar</t>
  </si>
  <si>
    <t>TREC Solar</t>
  </si>
  <si>
    <t>Precursor variables to get to dollar benefits</t>
  </si>
  <si>
    <t>NJ</t>
  </si>
  <si>
    <t>Projected Total Paid ($)</t>
  </si>
  <si>
    <t>Cap Space ($)</t>
  </si>
  <si>
    <t>Revenue from Sales</t>
  </si>
  <si>
    <t>Electricity Sales</t>
  </si>
  <si>
    <t>(percent of denominator)</t>
  </si>
  <si>
    <t>Cum. SREC and TREC</t>
  </si>
  <si>
    <t>Cost of Cumulative Capacity</t>
  </si>
  <si>
    <r>
      <t>production</t>
    </r>
    <r>
      <rPr>
        <vertAlign val="superscript"/>
        <sz val="11"/>
        <color theme="1"/>
        <rFont val="Calibri"/>
        <family val="2"/>
        <scheme val="minor"/>
      </rPr>
      <t>3</t>
    </r>
  </si>
  <si>
    <t>Prefered land use grid supply
@$80/MWh
(MW)</t>
  </si>
  <si>
    <t>Community Solar (LMI)
@$90/MWh
(MW)</t>
  </si>
  <si>
    <t>Basic grid supply
@$40/MWh
(MW)</t>
  </si>
  <si>
    <r>
      <t xml:space="preserve">Net-metered 
</t>
    </r>
    <r>
      <rPr>
        <sz val="11"/>
        <color theme="1"/>
        <rFont val="Calibri"/>
        <family val="2"/>
      </rPr>
      <t>≤ 2 MW</t>
    </r>
    <r>
      <rPr>
        <sz val="11"/>
        <color theme="1"/>
        <rFont val="Calibri"/>
        <family val="2"/>
        <scheme val="minor"/>
      </rPr>
      <t xml:space="preserve">
@$85/MWh
(MW)</t>
    </r>
  </si>
  <si>
    <t>Non-residential
&gt;2 MW
@$80/MWh
(MW)</t>
  </si>
  <si>
    <t>MW</t>
  </si>
  <si>
    <t>$ Paid</t>
  </si>
  <si>
    <t>OREC</t>
  </si>
  <si>
    <t>MWh</t>
  </si>
  <si>
    <t xml:space="preserve">Value of Retired RECs
</t>
  </si>
  <si>
    <t>&lt;---------------  C    O    S    T    S     (Sub-table 1a)   --------------&gt;</t>
  </si>
  <si>
    <t>&lt;---------------  B    E    N    E    F    I    T    S       (Sub-table 1b)     ---------------&gt;</t>
  </si>
  <si>
    <t>Cost Cap Percent</t>
  </si>
  <si>
    <t>After 2024 hold Class I REC price ($/MWh) at:</t>
  </si>
  <si>
    <t>Benefit from reducing Class I REC obligation
($)</t>
  </si>
  <si>
    <t>Total Class I REC 
(solar and non-solar)</t>
  </si>
  <si>
    <t>Cum. Installed as of Nov 30 of each EY</t>
  </si>
  <si>
    <t>Cumulative Legacy SREC Cost</t>
  </si>
  <si>
    <t>Cumulative Installed</t>
  </si>
  <si>
    <t>Cum. BTM host-owned TREC Program*</t>
  </si>
  <si>
    <t>Cum. BTM host-owned SREC*</t>
  </si>
  <si>
    <t>BTM host-owned cumulative</t>
  </si>
  <si>
    <t>Cum. BTM host-owned Successor Program**</t>
  </si>
  <si>
    <t>Cost of BTM host-owned cumulative</t>
  </si>
  <si>
    <t>**BTM host-owned Successor Program assumes that 46% of NM installed systems are host-owned</t>
  </si>
  <si>
    <t>*BTM host-owned SREC and TREC are actuals only as of Jan. 2021, do not include capacity forecasted to come online in EY21 and EY22</t>
  </si>
  <si>
    <t>Energy DRIPE benefit of new build
($)</t>
  </si>
  <si>
    <t>Capacity DRIPE benefit of new build
($)</t>
  </si>
  <si>
    <t>Capacity Factor</t>
  </si>
  <si>
    <t>Basic grid supply</t>
  </si>
  <si>
    <t>Prefered land use grid supply</t>
  </si>
  <si>
    <t>Community Solar (LMI)</t>
  </si>
  <si>
    <r>
      <t xml:space="preserve">Net-metered 
</t>
    </r>
    <r>
      <rPr>
        <sz val="11"/>
        <color theme="1"/>
        <rFont val="Calibri"/>
        <family val="2"/>
      </rPr>
      <t>≤ 2 MW</t>
    </r>
  </si>
  <si>
    <t>Non-residential
&gt;2 MW</t>
  </si>
  <si>
    <t>Total Cost of Successor Program (minus benefits) 
($)</t>
  </si>
  <si>
    <t>Surplus or Deficit with Carryover
($)</t>
  </si>
  <si>
    <t>Annual Surplus or Deficit
($)</t>
  </si>
  <si>
    <t>(w/out Successor REC)</t>
  </si>
  <si>
    <t>Green cells are input variables that can be changed to affect scenario outputs (cap space and head room)</t>
  </si>
  <si>
    <t>3-year moving avg
(actual from EIA)</t>
  </si>
  <si>
    <t>denominator (cap% times column G)</t>
  </si>
  <si>
    <t>Annual Head Room</t>
  </si>
  <si>
    <t>Annual Head Room with carry over</t>
  </si>
  <si>
    <t>Sub-table 4. Calculate Annual Head Room</t>
  </si>
  <si>
    <t>Sub-table 3. Calculate Cost Cap Space</t>
  </si>
  <si>
    <t>Cap space (sub-table 3) - costs (sub-table 1a) + benefits (sub-table 1b)</t>
  </si>
  <si>
    <t>Sub-table 2a. Denominator Inputs</t>
  </si>
  <si>
    <t>Plus adjustments adjustments to denominator (sub-table 2b) ($)</t>
  </si>
  <si>
    <t>Assume Net OREC is $50/MWh and 350 MW coming on line anually in EY2025-2027 and 750 MW/yr 2028-2030; Capacity factor for OSW = 0.35</t>
  </si>
  <si>
    <t>Assume 10-year financing period for host-owned (e.g. EY 2019 BTM includes projects installed between June 2009 and May 2019); Assume paid amount of $100,000/yr per MW installed.</t>
  </si>
  <si>
    <t>Sub-table 2b. Adjustments to Denominator</t>
  </si>
  <si>
    <t>Indicates actual data for EY19 and EY20 (later years are estimates)</t>
  </si>
  <si>
    <t>Sub-table 1. Numerator Inputs</t>
  </si>
  <si>
    <t>Sub-table 5a. Successor Program Incentive Value</t>
  </si>
  <si>
    <t>Sub-table 5b. Successor Program Annual MW Targets</t>
  </si>
  <si>
    <t>Sub-table 5c. Successor Program Cost</t>
  </si>
  <si>
    <t>*Successor Program production counted in first full energy year after installation.</t>
  </si>
  <si>
    <t>Cum. Successor Program Capacity
(MW)</t>
  </si>
  <si>
    <t>Total Cost Successor Program
($)</t>
  </si>
  <si>
    <r>
      <t>TREC</t>
    </r>
    <r>
      <rPr>
        <vertAlign val="superscript"/>
        <sz val="11"/>
        <color theme="1"/>
        <rFont val="Calibri"/>
        <family val="2"/>
        <scheme val="minor"/>
      </rPr>
      <t>2</t>
    </r>
  </si>
  <si>
    <r>
      <t>Non-solar Class I RECs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</si>
  <si>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SREC Retirements</t>
    </r>
    <r>
      <rPr>
        <vertAlign val="superscript"/>
        <sz val="11"/>
        <color theme="1"/>
        <rFont val="Calibri"/>
        <family val="2"/>
        <scheme val="minor"/>
      </rPr>
      <t>1</t>
    </r>
  </si>
  <si>
    <t>($/MWh)</t>
  </si>
  <si>
    <t>Total Class I RPS Costs</t>
  </si>
  <si>
    <t>RPS obligation</t>
  </si>
  <si>
    <r>
      <t>Energy DRIPE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</si>
  <si>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Capacity DRIPE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</si>
  <si>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Incentive Value Reduction
(evey 3 years)</t>
  </si>
  <si>
    <t>Staff estimates, except when actual retirement data is available. Net out TREC, SREC and OREC from total RPS obligation when applicable. Assume cost of out-of-state Class I REC on open market is $13/MWh.</t>
  </si>
  <si>
    <t>Staff estimates.</t>
  </si>
  <si>
    <t>Solar production based on annual 1,154 MWh/MW installed.</t>
  </si>
  <si>
    <t>Capcacity DRIPE from JCPL EE filing $0.000833/MWh, and multiply by 0.42 for conversion from ICAP to UCAP.</t>
  </si>
  <si>
    <t>Energy DRIPE:  Using $0.0000095 per MWh for all MWh sold in NJ per each MW solar capacity installed. See references in Straw Proposal.</t>
  </si>
  <si>
    <t>DRAFT FOR STAKEHOLDER DISCUSSION</t>
  </si>
  <si>
    <t>Footnotes from Cost Cap Tool:</t>
  </si>
  <si>
    <t>SOLAR TRANSITION: COST CAP TOOL</t>
  </si>
  <si>
    <r>
      <t xml:space="preserve">The Solar Transition: Cost Cap Tool is a working document that is being provided </t>
    </r>
    <r>
      <rPr>
        <u/>
        <sz val="13"/>
        <color theme="1"/>
        <rFont val="Calibri"/>
        <family val="2"/>
        <scheme val="minor"/>
      </rPr>
      <t>for informational purposes only</t>
    </r>
    <r>
      <rPr>
        <sz val="13"/>
        <color theme="1"/>
        <rFont val="Calibri"/>
        <family val="2"/>
        <scheme val="minor"/>
      </rPr>
      <t xml:space="preserve"> to support discussions with stakeholders in the context of the </t>
    </r>
    <r>
      <rPr>
        <b/>
        <sz val="13"/>
        <color theme="1"/>
        <rFont val="Calibri"/>
        <family val="2"/>
        <scheme val="minor"/>
      </rPr>
      <t>Solar Successor Program: Staff Straw Proposal</t>
    </r>
    <r>
      <rPr>
        <sz val="13"/>
        <color theme="1"/>
        <rFont val="Calibri"/>
        <family val="2"/>
        <scheme val="minor"/>
      </rPr>
      <t xml:space="preserve">. Many of the assumptions used in this Cost Cap Tool are placeholders, and are intended to be updated based on stakeholder feedback and data availability. </t>
    </r>
    <r>
      <rPr>
        <b/>
        <sz val="13"/>
        <color theme="1"/>
        <rFont val="Calibri"/>
        <family val="2"/>
        <scheme val="minor"/>
      </rPr>
      <t>Do not use this spreadsheet for guidance on the Board's policy or Staff forecasts for program performance.</t>
    </r>
  </si>
  <si>
    <t>Solar Transition:  Cost Cap Tool</t>
  </si>
  <si>
    <t>Draft for Stakeholder Discussion 04-07-2021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</si>
</sst>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  <numFmt numFmtId="168" formatCode="_(* #,##0_);_(* \(#,##0\);_(* &quot;-&quot;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9" fontId="0" fillId="2" borderId="1" xfId="0" applyNumberFormat="1" applyFill="1" applyBorder="1" applyAlignment="1">
      <alignment horizontal="center" vertical="center"/>
    </xf>
    <xf numFmtId="164" fontId="0" fillId="0" borderId="0" xfId="1" applyNumberFormat="1" applyFont="1"/>
    <xf numFmtId="0" fontId="0" fillId="2" borderId="0" xfId="0" applyFill="1"/>
    <xf numFmtId="0" fontId="0" fillId="0" borderId="2" xfId="0" applyBorder="1"/>
    <xf numFmtId="164" fontId="0" fillId="0" borderId="2" xfId="1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/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0" xfId="0" applyNumberFormat="1" applyBorder="1"/>
    <xf numFmtId="0" fontId="0" fillId="4" borderId="0" xfId="0" applyFill="1"/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3" borderId="0" xfId="1" applyNumberFormat="1" applyFont="1" applyFill="1" applyBorder="1"/>
    <xf numFmtId="0" fontId="0" fillId="0" borderId="10" xfId="0" applyBorder="1"/>
    <xf numFmtId="164" fontId="0" fillId="3" borderId="10" xfId="0" applyNumberFormat="1" applyFill="1" applyBorder="1"/>
    <xf numFmtId="0" fontId="0" fillId="0" borderId="0" xfId="0" applyAlignment="1">
      <alignment vertical="center" wrapText="1"/>
    </xf>
    <xf numFmtId="164" fontId="0" fillId="0" borderId="0" xfId="0" applyNumberFormat="1"/>
    <xf numFmtId="43" fontId="0" fillId="0" borderId="0" xfId="1" applyNumberFormat="1" applyFont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2" applyNumberFormat="1" applyFont="1" applyFill="1" applyBorder="1"/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5" fontId="0" fillId="0" borderId="0" xfId="2" applyNumberFormat="1" applyFont="1" applyFill="1" applyBorder="1"/>
    <xf numFmtId="0" fontId="0" fillId="0" borderId="0" xfId="0" applyFill="1" applyBorder="1" applyAlignment="1">
      <alignment horizontal="center"/>
    </xf>
    <xf numFmtId="168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44" fontId="0" fillId="2" borderId="0" xfId="2" applyFont="1" applyFill="1" applyBorder="1" applyAlignment="1">
      <alignment horizontal="center"/>
    </xf>
    <xf numFmtId="165" fontId="0" fillId="0" borderId="0" xfId="0" applyNumberFormat="1"/>
    <xf numFmtId="0" fontId="5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18" xfId="1" applyNumberFormat="1" applyFont="1" applyFill="1" applyBorder="1"/>
    <xf numFmtId="164" fontId="0" fillId="0" borderId="10" xfId="0" applyNumberFormat="1" applyFill="1" applyBorder="1"/>
    <xf numFmtId="165" fontId="0" fillId="0" borderId="0" xfId="0" applyNumberFormat="1" applyFill="1"/>
    <xf numFmtId="165" fontId="0" fillId="0" borderId="0" xfId="0" applyNumberFormat="1" applyFill="1" applyBorder="1"/>
    <xf numFmtId="43" fontId="0" fillId="0" borderId="0" xfId="1" applyFont="1" applyFill="1" applyBorder="1"/>
    <xf numFmtId="0" fontId="0" fillId="2" borderId="0" xfId="0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2" fontId="0" fillId="3" borderId="0" xfId="0" applyNumberFormat="1" applyFill="1" applyBorder="1"/>
    <xf numFmtId="2" fontId="0" fillId="0" borderId="0" xfId="0" applyNumberFormat="1" applyBorder="1"/>
    <xf numFmtId="164" fontId="0" fillId="0" borderId="3" xfId="1" applyNumberFormat="1" applyFont="1" applyBorder="1"/>
    <xf numFmtId="0" fontId="0" fillId="0" borderId="26" xfId="0" applyBorder="1"/>
    <xf numFmtId="2" fontId="0" fillId="0" borderId="27" xfId="0" applyNumberFormat="1" applyBorder="1"/>
    <xf numFmtId="164" fontId="0" fillId="0" borderId="27" xfId="1" applyNumberFormat="1" applyFont="1" applyBorder="1"/>
    <xf numFmtId="164" fontId="0" fillId="0" borderId="21" xfId="1" applyNumberFormat="1" applyFont="1" applyFill="1" applyBorder="1"/>
    <xf numFmtId="0" fontId="0" fillId="5" borderId="18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26" xfId="1" applyNumberFormat="1" applyFont="1" applyBorder="1"/>
    <xf numFmtId="164" fontId="0" fillId="0" borderId="27" xfId="1" applyNumberFormat="1" applyFont="1" applyFill="1" applyBorder="1"/>
    <xf numFmtId="164" fontId="0" fillId="0" borderId="27" xfId="0" applyNumberFormat="1" applyBorder="1"/>
    <xf numFmtId="164" fontId="0" fillId="0" borderId="27" xfId="0" applyNumberFormat="1" applyFill="1" applyBorder="1"/>
    <xf numFmtId="0" fontId="0" fillId="0" borderId="0" xfId="0" applyBorder="1" applyAlignment="1"/>
    <xf numFmtId="0" fontId="0" fillId="0" borderId="10" xfId="0" applyBorder="1" applyAlignment="1">
      <alignment horizontal="center" vertical="center" wrapText="1"/>
    </xf>
    <xf numFmtId="164" fontId="0" fillId="0" borderId="10" xfId="1" applyNumberFormat="1" applyFont="1" applyBorder="1"/>
    <xf numFmtId="164" fontId="0" fillId="0" borderId="3" xfId="1" applyNumberFormat="1" applyFont="1" applyFill="1" applyBorder="1"/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19" xfId="1" applyNumberFormat="1" applyFont="1" applyBorder="1"/>
    <xf numFmtId="164" fontId="0" fillId="0" borderId="28" xfId="1" applyNumberFormat="1" applyFont="1" applyFill="1" applyBorder="1"/>
    <xf numFmtId="164" fontId="0" fillId="0" borderId="33" xfId="1" applyNumberFormat="1" applyFont="1" applyBorder="1"/>
    <xf numFmtId="0" fontId="0" fillId="4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5" xfId="0" applyBorder="1"/>
    <xf numFmtId="164" fontId="0" fillId="0" borderId="35" xfId="1" applyNumberFormat="1" applyFont="1" applyBorder="1"/>
    <xf numFmtId="164" fontId="0" fillId="0" borderId="36" xfId="1" applyNumberFormat="1" applyFont="1" applyBorder="1"/>
    <xf numFmtId="0" fontId="0" fillId="4" borderId="19" xfId="0" applyFill="1" applyBorder="1" applyAlignment="1">
      <alignment horizontal="center" vertical="center" wrapText="1"/>
    </xf>
    <xf numFmtId="0" fontId="0" fillId="0" borderId="19" xfId="0" applyBorder="1"/>
    <xf numFmtId="164" fontId="0" fillId="0" borderId="19" xfId="1" applyNumberFormat="1" applyFont="1" applyFill="1" applyBorder="1"/>
    <xf numFmtId="164" fontId="0" fillId="0" borderId="33" xfId="1" applyNumberFormat="1" applyFont="1" applyFill="1" applyBorder="1"/>
    <xf numFmtId="0" fontId="0" fillId="4" borderId="19" xfId="0" applyFill="1" applyBorder="1" applyAlignment="1">
      <alignment horizontal="center" vertical="center"/>
    </xf>
    <xf numFmtId="164" fontId="0" fillId="0" borderId="19" xfId="0" applyNumberFormat="1" applyFill="1" applyBorder="1"/>
    <xf numFmtId="164" fontId="0" fillId="0" borderId="9" xfId="0" applyNumberFormat="1" applyFill="1" applyBorder="1"/>
    <xf numFmtId="164" fontId="0" fillId="0" borderId="33" xfId="0" applyNumberFormat="1" applyFill="1" applyBorder="1"/>
    <xf numFmtId="164" fontId="0" fillId="0" borderId="3" xfId="0" applyNumberFormat="1" applyFill="1" applyBorder="1"/>
    <xf numFmtId="164" fontId="0" fillId="0" borderId="28" xfId="0" applyNumberFormat="1" applyFill="1" applyBorder="1"/>
    <xf numFmtId="166" fontId="0" fillId="2" borderId="37" xfId="3" quotePrefix="1" applyNumberFormat="1" applyFont="1" applyFill="1" applyBorder="1" applyAlignment="1">
      <alignment horizontal="center" vertical="center"/>
    </xf>
    <xf numFmtId="164" fontId="0" fillId="3" borderId="37" xfId="0" applyNumberFormat="1" applyFill="1" applyBorder="1"/>
    <xf numFmtId="164" fontId="0" fillId="0" borderId="30" xfId="0" applyNumberFormat="1" applyFill="1" applyBorder="1"/>
    <xf numFmtId="0" fontId="3" fillId="0" borderId="0" xfId="0" quotePrefix="1" applyFont="1" applyFill="1" applyBorder="1" applyAlignment="1"/>
    <xf numFmtId="164" fontId="0" fillId="0" borderId="3" xfId="0" applyNumberFormat="1" applyBorder="1"/>
    <xf numFmtId="0" fontId="0" fillId="0" borderId="27" xfId="0" applyFill="1" applyBorder="1"/>
    <xf numFmtId="164" fontId="0" fillId="0" borderId="28" xfId="0" applyNumberFormat="1" applyBorder="1"/>
    <xf numFmtId="0" fontId="0" fillId="0" borderId="2" xfId="0" applyFill="1" applyBorder="1"/>
    <xf numFmtId="0" fontId="0" fillId="0" borderId="26" xfId="0" applyFill="1" applyBorder="1"/>
    <xf numFmtId="0" fontId="0" fillId="0" borderId="42" xfId="0" applyBorder="1" applyAlignment="1">
      <alignment horizontal="center" vertical="center" wrapText="1"/>
    </xf>
    <xf numFmtId="164" fontId="0" fillId="3" borderId="43" xfId="0" applyNumberFormat="1" applyFill="1" applyBorder="1"/>
    <xf numFmtId="164" fontId="0" fillId="3" borderId="35" xfId="1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9" fontId="0" fillId="0" borderId="35" xfId="0" applyNumberFormat="1" applyBorder="1"/>
    <xf numFmtId="9" fontId="0" fillId="0" borderId="26" xfId="0" applyNumberFormat="1" applyBorder="1"/>
    <xf numFmtId="0" fontId="0" fillId="0" borderId="27" xfId="0" applyBorder="1" applyAlignment="1">
      <alignment horizontal="center" vertical="center"/>
    </xf>
    <xf numFmtId="164" fontId="0" fillId="0" borderId="39" xfId="0" applyNumberFormat="1" applyFill="1" applyBorder="1"/>
    <xf numFmtId="0" fontId="0" fillId="5" borderId="38" xfId="0" applyFont="1" applyFill="1" applyBorder="1" applyAlignment="1">
      <alignment horizontal="center" vertical="center" wrapText="1"/>
    </xf>
    <xf numFmtId="44" fontId="0" fillId="2" borderId="3" xfId="2" applyFont="1" applyFill="1" applyBorder="1" applyAlignment="1">
      <alignment horizontal="center"/>
    </xf>
    <xf numFmtId="44" fontId="0" fillId="0" borderId="0" xfId="2" applyFont="1" applyBorder="1"/>
    <xf numFmtId="44" fontId="0" fillId="0" borderId="3" xfId="2" applyFont="1" applyBorder="1"/>
    <xf numFmtId="44" fontId="0" fillId="0" borderId="27" xfId="2" applyFont="1" applyBorder="1"/>
    <xf numFmtId="44" fontId="0" fillId="0" borderId="28" xfId="2" applyFont="1" applyBorder="1"/>
    <xf numFmtId="0" fontId="0" fillId="5" borderId="4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5" borderId="45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43" fontId="0" fillId="0" borderId="27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164" fontId="0" fillId="0" borderId="40" xfId="0" applyNumberFormat="1" applyFill="1" applyBorder="1"/>
    <xf numFmtId="164" fontId="0" fillId="0" borderId="29" xfId="0" applyNumberFormat="1" applyFill="1" applyBorder="1"/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/>
    <xf numFmtId="0" fontId="5" fillId="5" borderId="18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165" fontId="0" fillId="0" borderId="2" xfId="2" applyNumberFormat="1" applyFont="1" applyFill="1" applyBorder="1"/>
    <xf numFmtId="165" fontId="0" fillId="0" borderId="26" xfId="2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165" fontId="0" fillId="0" borderId="40" xfId="2" applyNumberFormat="1" applyFont="1" applyFill="1" applyBorder="1"/>
    <xf numFmtId="165" fontId="0" fillId="0" borderId="29" xfId="2" applyNumberFormat="1" applyFont="1" applyFill="1" applyBorder="1"/>
    <xf numFmtId="165" fontId="0" fillId="0" borderId="30" xfId="2" applyNumberFormat="1" applyFont="1" applyFill="1" applyBorder="1"/>
    <xf numFmtId="0" fontId="0" fillId="0" borderId="52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44" fontId="0" fillId="0" borderId="39" xfId="2" applyFont="1" applyBorder="1"/>
    <xf numFmtId="0" fontId="0" fillId="0" borderId="43" xfId="0" applyBorder="1"/>
    <xf numFmtId="0" fontId="0" fillId="0" borderId="10" xfId="0" applyFill="1" applyBorder="1"/>
    <xf numFmtId="165" fontId="0" fillId="0" borderId="39" xfId="0" applyNumberFormat="1" applyBorder="1"/>
    <xf numFmtId="165" fontId="0" fillId="0" borderId="40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0" fontId="5" fillId="5" borderId="54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/>
    </xf>
    <xf numFmtId="6" fontId="0" fillId="2" borderId="1" xfId="0" applyNumberFormat="1" applyFill="1" applyBorder="1"/>
    <xf numFmtId="0" fontId="0" fillId="5" borderId="32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5" fillId="5" borderId="4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  <xf numFmtId="0" fontId="11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quotePrefix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15" fontId="4" fillId="0" borderId="0" xfId="0" applyNumberFormat="1" applyFont="1"/>
    <xf numFmtId="0" fontId="12" fillId="0" borderId="0" xfId="0" applyFont="1"/>
    <xf numFmtId="0" fontId="9" fillId="0" borderId="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3" fillId="6" borderId="15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 wrapText="1"/>
    </xf>
    <xf numFmtId="0" fontId="3" fillId="6" borderId="25" xfId="0" applyFont="1" applyFill="1" applyBorder="1" applyAlignment="1">
      <alignment horizontal="center" wrapText="1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6" borderId="15" xfId="0" quotePrefix="1" applyFont="1" applyFill="1" applyBorder="1" applyAlignment="1">
      <alignment horizontal="center"/>
    </xf>
    <xf numFmtId="0" fontId="3" fillId="6" borderId="17" xfId="0" quotePrefix="1" applyFont="1" applyFill="1" applyBorder="1" applyAlignment="1">
      <alignment horizontal="center"/>
    </xf>
    <xf numFmtId="0" fontId="3" fillId="6" borderId="16" xfId="0" quotePrefix="1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" fillId="6" borderId="26" xfId="0" quotePrefix="1" applyFont="1" applyFill="1" applyBorder="1" applyAlignment="1">
      <alignment horizontal="center"/>
    </xf>
    <xf numFmtId="0" fontId="3" fillId="6" borderId="27" xfId="0" quotePrefix="1" applyFont="1" applyFill="1" applyBorder="1" applyAlignment="1">
      <alignment horizontal="center"/>
    </xf>
    <xf numFmtId="0" fontId="3" fillId="6" borderId="28" xfId="0" quotePrefix="1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6" borderId="15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zoomScale="80" zoomScaleNormal="80" workbookViewId="0">
      <selection activeCell="D5" sqref="D5"/>
    </sheetView>
  </sheetViews>
  <sheetFormatPr defaultRowHeight="14.5" x14ac:dyDescent="0.35"/>
  <cols>
    <col min="1" max="1" width="11.90625" bestFit="1" customWidth="1"/>
    <col min="12" max="12" width="10.1796875" bestFit="1" customWidth="1"/>
  </cols>
  <sheetData>
    <row r="1" spans="1:23" ht="21" x14ac:dyDescent="0.5">
      <c r="A1" s="21" t="s">
        <v>96</v>
      </c>
    </row>
    <row r="2" spans="1:23" ht="21" x14ac:dyDescent="0.5">
      <c r="A2" s="21"/>
    </row>
    <row r="3" spans="1:23" ht="21" x14ac:dyDescent="0.5">
      <c r="A3" s="21" t="s">
        <v>94</v>
      </c>
    </row>
    <row r="4" spans="1:23" ht="21" x14ac:dyDescent="0.5">
      <c r="A4" s="21"/>
    </row>
    <row r="5" spans="1:23" ht="21" x14ac:dyDescent="0.5">
      <c r="A5" s="194">
        <v>44293</v>
      </c>
    </row>
    <row r="6" spans="1:23" ht="21" customHeight="1" x14ac:dyDescent="0.35">
      <c r="A6" s="22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</row>
    <row r="7" spans="1:23" ht="56" customHeight="1" x14ac:dyDescent="0.4">
      <c r="A7" s="198" t="s">
        <v>97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</row>
    <row r="8" spans="1:23" ht="21" customHeight="1" x14ac:dyDescent="0.4">
      <c r="A8" s="181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</row>
    <row r="9" spans="1:23" ht="17" x14ac:dyDescent="0.4">
      <c r="A9" s="182" t="s">
        <v>95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4"/>
    </row>
    <row r="10" spans="1:23" ht="17" customHeight="1" x14ac:dyDescent="0.35">
      <c r="A10" s="185">
        <v>1</v>
      </c>
      <c r="B10" s="196" t="s">
        <v>89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7"/>
    </row>
    <row r="11" spans="1:23" ht="17" x14ac:dyDescent="0.35">
      <c r="A11" s="186">
        <f>A10+1</f>
        <v>2</v>
      </c>
      <c r="B11" s="187" t="s">
        <v>90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9"/>
    </row>
    <row r="12" spans="1:23" ht="17" x14ac:dyDescent="0.35">
      <c r="A12" s="186">
        <f t="shared" ref="A12:A14" si="0">A11+1</f>
        <v>3</v>
      </c>
      <c r="B12" s="188" t="s">
        <v>91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9"/>
    </row>
    <row r="13" spans="1:23" ht="15.5" customHeight="1" x14ac:dyDescent="0.35">
      <c r="A13" s="186">
        <f t="shared" si="0"/>
        <v>4</v>
      </c>
      <c r="B13" s="188" t="s">
        <v>93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1"/>
    </row>
    <row r="14" spans="1:23" ht="17" x14ac:dyDescent="0.35">
      <c r="A14" s="192">
        <f t="shared" si="0"/>
        <v>5</v>
      </c>
      <c r="B14" s="193" t="s">
        <v>92</v>
      </c>
      <c r="C14" s="193"/>
      <c r="D14" s="193"/>
      <c r="E14" s="193"/>
      <c r="F14" s="193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9"/>
    </row>
    <row r="15" spans="1:23" ht="15.5" x14ac:dyDescent="0.35">
      <c r="A15" s="35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7"/>
    </row>
    <row r="16" spans="1:23" ht="15.5" x14ac:dyDescent="0.35">
      <c r="A16" s="3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1" ht="15.5" x14ac:dyDescent="0.35">
      <c r="A17" s="35"/>
    </row>
    <row r="18" spans="1:1" ht="15.5" x14ac:dyDescent="0.35">
      <c r="A18" s="35"/>
    </row>
    <row r="19" spans="1:1" ht="15.5" x14ac:dyDescent="0.35">
      <c r="A19" s="35"/>
    </row>
    <row r="20" spans="1:1" ht="15.5" x14ac:dyDescent="0.35">
      <c r="A20" s="35"/>
    </row>
    <row r="21" spans="1:1" ht="15.5" x14ac:dyDescent="0.35">
      <c r="A21" s="35"/>
    </row>
    <row r="22" spans="1:1" ht="15.5" x14ac:dyDescent="0.35">
      <c r="A22" s="35"/>
    </row>
    <row r="23" spans="1:1" ht="15.5" x14ac:dyDescent="0.35">
      <c r="A23" s="35"/>
    </row>
    <row r="24" spans="1:1" ht="15.5" x14ac:dyDescent="0.35">
      <c r="A24" s="35"/>
    </row>
    <row r="25" spans="1:1" ht="15.5" x14ac:dyDescent="0.35">
      <c r="A25" s="35"/>
    </row>
    <row r="26" spans="1:1" ht="15.5" x14ac:dyDescent="0.35">
      <c r="A26" s="35"/>
    </row>
    <row r="27" spans="1:1" ht="15.5" x14ac:dyDescent="0.35">
      <c r="A27" s="35"/>
    </row>
    <row r="28" spans="1:1" ht="15.5" x14ac:dyDescent="0.35">
      <c r="A28" s="35"/>
    </row>
  </sheetData>
  <mergeCells count="2">
    <mergeCell ref="B10:V10"/>
    <mergeCell ref="A7:V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1"/>
  <sheetViews>
    <sheetView zoomScale="60" zoomScaleNormal="60" workbookViewId="0">
      <pane xSplit="1" topLeftCell="B1" activePane="topRight" state="frozen"/>
      <selection activeCell="A50" sqref="A50"/>
      <selection pane="topRight" activeCell="A21" sqref="A21"/>
    </sheetView>
  </sheetViews>
  <sheetFormatPr defaultRowHeight="14.5" x14ac:dyDescent="0.35"/>
  <cols>
    <col min="1" max="1" width="14.453125" customWidth="1"/>
    <col min="2" max="2" width="21.81640625" customWidth="1"/>
    <col min="3" max="3" width="19.54296875" customWidth="1"/>
    <col min="4" max="4" width="20" customWidth="1"/>
    <col min="5" max="5" width="21" customWidth="1"/>
    <col min="6" max="6" width="15.453125" customWidth="1"/>
    <col min="7" max="7" width="18.54296875" customWidth="1"/>
    <col min="8" max="8" width="22.1796875" customWidth="1"/>
    <col min="9" max="9" width="17.6328125" customWidth="1"/>
    <col min="10" max="10" width="20.54296875" customWidth="1"/>
    <col min="11" max="11" width="22.7265625" customWidth="1"/>
    <col min="12" max="12" width="18.90625" customWidth="1"/>
    <col min="13" max="13" width="19.26953125" customWidth="1"/>
    <col min="14" max="14" width="17.90625" customWidth="1"/>
    <col min="15" max="15" width="16.1796875" customWidth="1"/>
    <col min="16" max="16" width="18.08984375" customWidth="1"/>
    <col min="17" max="17" width="19.453125" customWidth="1"/>
    <col min="18" max="18" width="19.81640625" customWidth="1"/>
    <col min="19" max="19" width="19" customWidth="1"/>
    <col min="20" max="20" width="17.26953125" customWidth="1"/>
    <col min="21" max="21" width="21.1796875" customWidth="1"/>
    <col min="22" max="22" width="22.36328125" customWidth="1"/>
    <col min="23" max="23" width="21.1796875" customWidth="1"/>
    <col min="24" max="24" width="19.26953125" customWidth="1"/>
    <col min="25" max="25" width="16.26953125" customWidth="1"/>
    <col min="26" max="26" width="17.81640625" customWidth="1"/>
    <col min="27" max="27" width="24.453125" customWidth="1"/>
    <col min="28" max="28" width="17.7265625" customWidth="1"/>
    <col min="29" max="29" width="21.90625" customWidth="1"/>
    <col min="30" max="30" width="21.1796875" customWidth="1"/>
    <col min="31" max="31" width="20.81640625" customWidth="1"/>
    <col min="32" max="32" width="23.1796875" customWidth="1"/>
    <col min="33" max="33" width="16.81640625" customWidth="1"/>
    <col min="34" max="35" width="21.1796875" customWidth="1"/>
    <col min="36" max="36" width="21" customWidth="1"/>
    <col min="37" max="37" width="22.6328125" customWidth="1"/>
    <col min="38" max="38" width="15.90625" customWidth="1"/>
    <col min="39" max="39" width="15.08984375" customWidth="1"/>
    <col min="40" max="40" width="18.36328125" customWidth="1"/>
    <col min="41" max="41" width="21.54296875" customWidth="1"/>
    <col min="42" max="42" width="12.36328125" customWidth="1"/>
    <col min="43" max="43" width="16.26953125" customWidth="1"/>
    <col min="44" max="44" width="17.7265625" customWidth="1"/>
    <col min="45" max="45" width="17.08984375" customWidth="1"/>
    <col min="46" max="46" width="19.90625" customWidth="1"/>
    <col min="47" max="47" width="17.36328125" customWidth="1"/>
    <col min="48" max="48" width="20.54296875" customWidth="1"/>
  </cols>
  <sheetData>
    <row r="1" spans="1:25" ht="28.5" x14ac:dyDescent="0.65">
      <c r="B1" s="195" t="s">
        <v>98</v>
      </c>
      <c r="E1" s="22"/>
    </row>
    <row r="2" spans="1:25" x14ac:dyDescent="0.35">
      <c r="B2" t="s">
        <v>99</v>
      </c>
    </row>
    <row r="3" spans="1:25" ht="45" customHeight="1" thickBot="1" x14ac:dyDescent="0.4">
      <c r="D3" s="3"/>
      <c r="E3" s="220" t="s">
        <v>59</v>
      </c>
      <c r="F3" s="220"/>
      <c r="H3" s="14"/>
      <c r="I3" s="206" t="s">
        <v>72</v>
      </c>
      <c r="J3" s="206"/>
      <c r="L3" s="18"/>
      <c r="M3" s="206" t="s">
        <v>11</v>
      </c>
      <c r="N3" s="206"/>
      <c r="S3" s="30"/>
      <c r="T3" s="30"/>
      <c r="U3" s="30"/>
      <c r="V3" s="30"/>
      <c r="W3" s="30"/>
      <c r="X3" s="30"/>
      <c r="Y3" s="30"/>
    </row>
    <row r="4" spans="1:25" ht="71.5" customHeight="1" thickBot="1" x14ac:dyDescent="0.5">
      <c r="B4" s="210" t="s">
        <v>73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2"/>
    </row>
    <row r="5" spans="1:25" ht="25" customHeight="1" thickBot="1" x14ac:dyDescent="0.5">
      <c r="B5" s="214" t="s">
        <v>31</v>
      </c>
      <c r="C5" s="215"/>
      <c r="D5" s="215"/>
      <c r="E5" s="215"/>
      <c r="F5" s="215"/>
      <c r="G5" s="215"/>
      <c r="H5" s="216"/>
      <c r="I5" s="7"/>
      <c r="J5" s="207" t="s">
        <v>32</v>
      </c>
      <c r="K5" s="208"/>
      <c r="L5" s="208"/>
      <c r="M5" s="208"/>
      <c r="N5" s="208"/>
      <c r="O5" s="208"/>
      <c r="P5" s="208"/>
      <c r="Q5" s="209"/>
      <c r="R5" s="100"/>
      <c r="S5" s="100"/>
      <c r="T5" s="100"/>
      <c r="U5" s="100"/>
      <c r="V5" s="100"/>
      <c r="W5" s="100"/>
      <c r="X5" s="7"/>
      <c r="Y5" s="12"/>
    </row>
    <row r="6" spans="1:25" ht="50" customHeight="1" x14ac:dyDescent="0.35">
      <c r="B6" s="217" t="s">
        <v>4</v>
      </c>
      <c r="C6" s="218"/>
      <c r="D6" s="218"/>
      <c r="E6" s="219"/>
      <c r="F6" s="172" t="s">
        <v>80</v>
      </c>
      <c r="G6" s="173" t="s">
        <v>81</v>
      </c>
      <c r="H6" s="138" t="s">
        <v>84</v>
      </c>
      <c r="I6" s="7"/>
      <c r="J6" s="82" t="s">
        <v>9</v>
      </c>
      <c r="K6" s="87" t="s">
        <v>10</v>
      </c>
      <c r="L6" s="87" t="s">
        <v>18</v>
      </c>
      <c r="M6" s="19" t="s">
        <v>6</v>
      </c>
      <c r="N6" s="87" t="s">
        <v>36</v>
      </c>
      <c r="O6" s="19" t="s">
        <v>12</v>
      </c>
      <c r="P6" s="147" t="s">
        <v>86</v>
      </c>
      <c r="Q6" s="148" t="s">
        <v>87</v>
      </c>
      <c r="R6" s="213"/>
      <c r="S6" s="213"/>
      <c r="T6" s="213"/>
      <c r="U6" s="213"/>
      <c r="V6" s="12"/>
      <c r="W6" s="12"/>
    </row>
    <row r="7" spans="1:25" ht="63.75" customHeight="1" x14ac:dyDescent="0.35">
      <c r="B7" s="58" t="s">
        <v>0</v>
      </c>
      <c r="C7" s="1">
        <v>0.75</v>
      </c>
      <c r="D7" s="8" t="s">
        <v>82</v>
      </c>
      <c r="E7" s="74" t="s">
        <v>38</v>
      </c>
      <c r="F7" s="77" t="s">
        <v>19</v>
      </c>
      <c r="G7" s="59" t="s">
        <v>30</v>
      </c>
      <c r="H7" s="67" t="s">
        <v>58</v>
      </c>
      <c r="I7" s="7"/>
      <c r="J7" s="82" t="s">
        <v>37</v>
      </c>
      <c r="K7" s="87" t="s">
        <v>39</v>
      </c>
      <c r="L7" s="91" t="s">
        <v>7</v>
      </c>
      <c r="M7" s="20" t="s">
        <v>20</v>
      </c>
      <c r="N7" s="91" t="s">
        <v>85</v>
      </c>
      <c r="O7" s="20" t="s">
        <v>16</v>
      </c>
      <c r="P7" s="132">
        <v>9.5000000000000005E-6</v>
      </c>
      <c r="Q7" s="133">
        <v>8.3299999999999997E-4</v>
      </c>
      <c r="R7" s="12"/>
      <c r="S7" s="13"/>
      <c r="T7" s="13"/>
      <c r="U7" s="12"/>
      <c r="V7" s="33"/>
      <c r="W7" s="33"/>
    </row>
    <row r="8" spans="1:25" ht="39.65" customHeight="1" x14ac:dyDescent="0.35">
      <c r="A8" s="159" t="s">
        <v>1</v>
      </c>
      <c r="B8" s="23" t="s">
        <v>2</v>
      </c>
      <c r="C8" s="8" t="s">
        <v>83</v>
      </c>
      <c r="D8" s="8" t="s">
        <v>5</v>
      </c>
      <c r="E8" s="26" t="s">
        <v>3</v>
      </c>
      <c r="F8" s="78" t="s">
        <v>3</v>
      </c>
      <c r="G8" s="68" t="s">
        <v>3</v>
      </c>
      <c r="H8" s="136" t="s">
        <v>3</v>
      </c>
      <c r="I8" s="160" t="s">
        <v>1</v>
      </c>
      <c r="J8" s="83" t="s">
        <v>8</v>
      </c>
      <c r="K8" s="78" t="s">
        <v>8</v>
      </c>
      <c r="L8" s="78" t="s">
        <v>8</v>
      </c>
      <c r="M8" s="6" t="s">
        <v>5</v>
      </c>
      <c r="N8" s="78" t="s">
        <v>5</v>
      </c>
      <c r="O8" s="6" t="s">
        <v>5</v>
      </c>
      <c r="P8" s="25" t="s">
        <v>3</v>
      </c>
      <c r="Q8" s="68" t="s">
        <v>3</v>
      </c>
      <c r="R8" s="13"/>
      <c r="S8" s="13"/>
      <c r="T8" s="13"/>
      <c r="U8" s="13"/>
      <c r="V8" s="13"/>
      <c r="W8" s="13"/>
    </row>
    <row r="9" spans="1:25" x14ac:dyDescent="0.35">
      <c r="A9" s="44"/>
      <c r="B9" s="4"/>
      <c r="C9" s="7"/>
      <c r="D9" s="7"/>
      <c r="E9" s="28"/>
      <c r="F9" s="79"/>
      <c r="G9" s="16"/>
      <c r="H9" s="137"/>
      <c r="I9" s="6"/>
      <c r="J9" s="84"/>
      <c r="K9" s="88"/>
      <c r="L9" s="88"/>
      <c r="M9" s="7"/>
      <c r="N9" s="88"/>
      <c r="O9" s="7"/>
      <c r="P9" s="24"/>
      <c r="Q9" s="16"/>
      <c r="R9" s="33"/>
      <c r="S9" s="33"/>
      <c r="T9" s="33"/>
      <c r="U9" s="33"/>
      <c r="V9" s="33"/>
      <c r="W9" s="33"/>
    </row>
    <row r="10" spans="1:25" x14ac:dyDescent="0.35">
      <c r="A10" s="44">
        <v>2019</v>
      </c>
      <c r="B10" s="4">
        <v>268</v>
      </c>
      <c r="C10" s="60">
        <v>217.29</v>
      </c>
      <c r="D10" s="27">
        <v>2747676</v>
      </c>
      <c r="E10" s="75">
        <f t="shared" ref="E10:E31" si="0">C10*D10</f>
        <v>597042518.03999996</v>
      </c>
      <c r="F10" s="79">
        <v>0</v>
      </c>
      <c r="G10" s="76">
        <v>79254419</v>
      </c>
      <c r="H10" s="52">
        <f t="shared" ref="H10:H31" si="1">F10+G10+E10</f>
        <v>676296937.03999996</v>
      </c>
      <c r="I10" s="6">
        <v>2019</v>
      </c>
      <c r="J10" s="85">
        <v>2883</v>
      </c>
      <c r="K10" s="79"/>
      <c r="L10" s="89">
        <f t="shared" ref="L10:L31" si="2">J10+K10</f>
        <v>2883</v>
      </c>
      <c r="M10" s="11">
        <f t="shared" ref="M10:M31" si="3">L10*1154</f>
        <v>3326982</v>
      </c>
      <c r="N10" s="92">
        <v>10408717</v>
      </c>
      <c r="O10" s="11">
        <v>74462963</v>
      </c>
      <c r="P10" s="93">
        <f t="shared" ref="P10:P31" si="4">$L10*$O10*$P$7</f>
        <v>2039428.8621255001</v>
      </c>
      <c r="Q10" s="95">
        <f t="shared" ref="Q10:Q31" si="5">0.000833*($L10*0.42)*$O10</f>
        <v>75106798.074023932</v>
      </c>
      <c r="R10" s="9"/>
      <c r="S10" s="33"/>
      <c r="T10" s="33"/>
      <c r="U10" s="9"/>
      <c r="V10" s="33"/>
      <c r="W10" s="33"/>
    </row>
    <row r="11" spans="1:25" x14ac:dyDescent="0.35">
      <c r="A11" s="44">
        <v>2020</v>
      </c>
      <c r="B11" s="4">
        <v>258</v>
      </c>
      <c r="C11" s="60">
        <v>218.61</v>
      </c>
      <c r="D11" s="27">
        <v>3287339</v>
      </c>
      <c r="E11" s="75">
        <f t="shared" si="0"/>
        <v>718645178.79000008</v>
      </c>
      <c r="F11" s="79">
        <v>350518</v>
      </c>
      <c r="G11" s="76">
        <v>89997891</v>
      </c>
      <c r="H11" s="52">
        <f t="shared" si="1"/>
        <v>808993587.79000008</v>
      </c>
      <c r="I11" s="6">
        <v>2020</v>
      </c>
      <c r="J11" s="85">
        <v>3317</v>
      </c>
      <c r="K11" s="89">
        <v>21</v>
      </c>
      <c r="L11" s="89">
        <f t="shared" si="2"/>
        <v>3338</v>
      </c>
      <c r="M11" s="11">
        <f t="shared" si="3"/>
        <v>3852052</v>
      </c>
      <c r="N11" s="92">
        <v>10078927</v>
      </c>
      <c r="O11" s="11">
        <v>71695423</v>
      </c>
      <c r="P11" s="93">
        <f t="shared" si="4"/>
        <v>2273533.5587530001</v>
      </c>
      <c r="Q11" s="95">
        <f t="shared" si="5"/>
        <v>83728257.985823646</v>
      </c>
      <c r="R11" s="9"/>
      <c r="S11" s="33"/>
      <c r="T11" s="33"/>
      <c r="U11" s="9"/>
      <c r="V11" s="33"/>
      <c r="W11" s="33"/>
    </row>
    <row r="12" spans="1:25" x14ac:dyDescent="0.35">
      <c r="A12" s="44">
        <v>2021</v>
      </c>
      <c r="B12" s="4">
        <v>248</v>
      </c>
      <c r="C12" s="61">
        <f t="shared" ref="C12:C25" si="6">B12*$C$7</f>
        <v>186</v>
      </c>
      <c r="D12" s="10">
        <v>3823650</v>
      </c>
      <c r="E12" s="75">
        <f t="shared" si="0"/>
        <v>711198900</v>
      </c>
      <c r="F12" s="79">
        <v>18666286</v>
      </c>
      <c r="G12" s="62">
        <v>121089600</v>
      </c>
      <c r="H12" s="52">
        <f t="shared" si="1"/>
        <v>850954786</v>
      </c>
      <c r="I12" s="6">
        <v>2021</v>
      </c>
      <c r="J12" s="85">
        <v>3333</v>
      </c>
      <c r="K12" s="89">
        <f>K11+248</f>
        <v>269</v>
      </c>
      <c r="L12" s="89">
        <f t="shared" si="2"/>
        <v>3602</v>
      </c>
      <c r="M12" s="11">
        <f t="shared" si="3"/>
        <v>4156708</v>
      </c>
      <c r="N12" s="92">
        <f>O12*0.21</f>
        <v>15131319.024149999</v>
      </c>
      <c r="O12" s="11">
        <f t="shared" ref="O12:O31" si="7">O11+(O11*$C$37)</f>
        <v>72053900.114999995</v>
      </c>
      <c r="P12" s="93">
        <f t="shared" si="4"/>
        <v>2465612.4080351847</v>
      </c>
      <c r="Q12" s="95">
        <f t="shared" si="5"/>
        <v>90802016.534230486</v>
      </c>
      <c r="R12" s="9"/>
      <c r="S12" s="33"/>
      <c r="T12" s="33"/>
      <c r="U12" s="9"/>
      <c r="V12" s="33"/>
      <c r="W12" s="33"/>
    </row>
    <row r="13" spans="1:25" x14ac:dyDescent="0.35">
      <c r="A13" s="44">
        <v>2022</v>
      </c>
      <c r="B13" s="4">
        <v>238</v>
      </c>
      <c r="C13" s="61">
        <f t="shared" si="6"/>
        <v>178.5</v>
      </c>
      <c r="D13" s="10">
        <v>4036075</v>
      </c>
      <c r="E13" s="75">
        <f t="shared" si="0"/>
        <v>720439387.5</v>
      </c>
      <c r="F13" s="79">
        <v>65697307</v>
      </c>
      <c r="G13" s="62">
        <v>117499242</v>
      </c>
      <c r="H13" s="52">
        <f t="shared" si="1"/>
        <v>903635936.5</v>
      </c>
      <c r="I13" s="6">
        <v>2022</v>
      </c>
      <c r="J13" s="85">
        <v>3333</v>
      </c>
      <c r="K13" s="89">
        <f>K12+340</f>
        <v>609</v>
      </c>
      <c r="L13" s="89">
        <f t="shared" si="2"/>
        <v>3942</v>
      </c>
      <c r="M13" s="17">
        <f t="shared" si="3"/>
        <v>4549068</v>
      </c>
      <c r="N13" s="92">
        <f>O13*0.21</f>
        <v>15206975.619270749</v>
      </c>
      <c r="O13" s="11">
        <f t="shared" si="7"/>
        <v>72414169.615575001</v>
      </c>
      <c r="P13" s="93">
        <f t="shared" si="4"/>
        <v>2711838.2379336688</v>
      </c>
      <c r="Q13" s="95">
        <f t="shared" si="5"/>
        <v>99869865.886681363</v>
      </c>
      <c r="R13" s="9"/>
      <c r="S13" s="33"/>
      <c r="T13" s="33"/>
      <c r="U13" s="9"/>
      <c r="V13" s="33"/>
      <c r="W13" s="33"/>
    </row>
    <row r="14" spans="1:25" x14ac:dyDescent="0.35">
      <c r="A14" s="44">
        <v>2023</v>
      </c>
      <c r="B14" s="4">
        <v>228</v>
      </c>
      <c r="C14" s="61">
        <f t="shared" si="6"/>
        <v>171</v>
      </c>
      <c r="D14" s="10">
        <v>3868305</v>
      </c>
      <c r="E14" s="75">
        <f t="shared" si="0"/>
        <v>661480155</v>
      </c>
      <c r="F14" s="79">
        <v>110784889</v>
      </c>
      <c r="G14" s="62">
        <v>137534564</v>
      </c>
      <c r="H14" s="52">
        <f t="shared" si="1"/>
        <v>909799608</v>
      </c>
      <c r="I14" s="6">
        <v>2023</v>
      </c>
      <c r="J14" s="85">
        <v>3333</v>
      </c>
      <c r="K14" s="89">
        <f>K13+196</f>
        <v>805</v>
      </c>
      <c r="L14" s="89">
        <f t="shared" si="2"/>
        <v>4138</v>
      </c>
      <c r="M14" s="17">
        <f t="shared" si="3"/>
        <v>4775252</v>
      </c>
      <c r="N14" s="92">
        <f>O14*0.21</f>
        <v>15283010.497367105</v>
      </c>
      <c r="O14" s="11">
        <f t="shared" si="7"/>
        <v>72776240.463652879</v>
      </c>
      <c r="P14" s="93">
        <f t="shared" si="4"/>
        <v>2860906.7888666587</v>
      </c>
      <c r="Q14" s="95">
        <f t="shared" si="5"/>
        <v>105359668.33188306</v>
      </c>
      <c r="R14" s="9"/>
      <c r="S14" s="33"/>
      <c r="T14" s="33"/>
      <c r="U14" s="9"/>
      <c r="V14" s="33"/>
      <c r="W14" s="33"/>
    </row>
    <row r="15" spans="1:25" x14ac:dyDescent="0.35">
      <c r="A15" s="44">
        <v>2024</v>
      </c>
      <c r="B15" s="4">
        <v>218</v>
      </c>
      <c r="C15" s="61">
        <f t="shared" si="6"/>
        <v>163.5</v>
      </c>
      <c r="D15" s="10">
        <v>3650500</v>
      </c>
      <c r="E15" s="75">
        <f t="shared" si="0"/>
        <v>596856750</v>
      </c>
      <c r="F15" s="79">
        <v>124757380</v>
      </c>
      <c r="G15" s="76">
        <f>201710141-L43</f>
        <v>200636306</v>
      </c>
      <c r="H15" s="52">
        <f t="shared" si="1"/>
        <v>922250436</v>
      </c>
      <c r="I15" s="6">
        <v>2024</v>
      </c>
      <c r="J15" s="85">
        <v>3333</v>
      </c>
      <c r="K15" s="89">
        <f>K14+12</f>
        <v>817</v>
      </c>
      <c r="L15" s="89">
        <f t="shared" si="2"/>
        <v>4150</v>
      </c>
      <c r="M15" s="17">
        <f t="shared" si="3"/>
        <v>4789100</v>
      </c>
      <c r="N15" s="92">
        <f>O15*0.21</f>
        <v>15359425.54985394</v>
      </c>
      <c r="O15" s="11">
        <f t="shared" si="7"/>
        <v>73140121.665971145</v>
      </c>
      <c r="P15" s="93">
        <f t="shared" si="4"/>
        <v>2883549.2966809128</v>
      </c>
      <c r="Q15" s="95">
        <f t="shared" si="5"/>
        <v>106193532.30913515</v>
      </c>
      <c r="R15" s="9"/>
      <c r="S15" s="33"/>
      <c r="T15" s="33"/>
      <c r="U15" s="9"/>
      <c r="V15" s="33"/>
      <c r="W15" s="33"/>
    </row>
    <row r="16" spans="1:25" x14ac:dyDescent="0.35">
      <c r="A16" s="44">
        <v>2025</v>
      </c>
      <c r="B16" s="4">
        <v>208</v>
      </c>
      <c r="C16" s="61">
        <f t="shared" si="6"/>
        <v>156</v>
      </c>
      <c r="D16" s="10">
        <v>3550149</v>
      </c>
      <c r="E16" s="75">
        <f t="shared" si="0"/>
        <v>553823244</v>
      </c>
      <c r="F16" s="79">
        <v>124757380</v>
      </c>
      <c r="G16" s="76">
        <f t="shared" ref="G16:G31" si="8">(N16-D16-(K16*1154)-L44)*$G$33</f>
        <v>248123210.34806955</v>
      </c>
      <c r="H16" s="52">
        <f t="shared" si="1"/>
        <v>926703834.34806955</v>
      </c>
      <c r="I16" s="6">
        <v>2025</v>
      </c>
      <c r="J16" s="85">
        <v>3333</v>
      </c>
      <c r="K16" s="89">
        <f t="shared" ref="K16:K31" si="9">K15+0</f>
        <v>817</v>
      </c>
      <c r="L16" s="89">
        <f t="shared" si="2"/>
        <v>4150</v>
      </c>
      <c r="M16" s="17">
        <f t="shared" si="3"/>
        <v>4789100</v>
      </c>
      <c r="N16" s="92">
        <f>O16*0.35</f>
        <v>25727037.79600535</v>
      </c>
      <c r="O16" s="11">
        <f t="shared" si="7"/>
        <v>73505822.274301007</v>
      </c>
      <c r="P16" s="93">
        <f t="shared" si="4"/>
        <v>2897967.0431643175</v>
      </c>
      <c r="Q16" s="95">
        <f t="shared" si="5"/>
        <v>106724499.97068085</v>
      </c>
      <c r="R16" s="9"/>
      <c r="S16" s="33"/>
      <c r="T16" s="33"/>
      <c r="U16" s="9"/>
      <c r="V16" s="33"/>
      <c r="W16" s="33"/>
    </row>
    <row r="17" spans="1:23" x14ac:dyDescent="0.35">
      <c r="A17" s="44">
        <v>2026</v>
      </c>
      <c r="B17" s="4">
        <v>198</v>
      </c>
      <c r="C17" s="61">
        <f t="shared" si="6"/>
        <v>148.5</v>
      </c>
      <c r="D17" s="10">
        <v>3163899</v>
      </c>
      <c r="E17" s="75">
        <f t="shared" si="0"/>
        <v>469839001.5</v>
      </c>
      <c r="F17" s="79">
        <v>124757380</v>
      </c>
      <c r="G17" s="76">
        <f t="shared" si="8"/>
        <v>240856862.8048099</v>
      </c>
      <c r="H17" s="52">
        <f t="shared" si="1"/>
        <v>835453244.30480993</v>
      </c>
      <c r="I17" s="6">
        <v>2026</v>
      </c>
      <c r="J17" s="85">
        <v>3333</v>
      </c>
      <c r="K17" s="89">
        <f t="shared" si="9"/>
        <v>817</v>
      </c>
      <c r="L17" s="89">
        <f t="shared" si="2"/>
        <v>4150</v>
      </c>
      <c r="M17" s="17">
        <f t="shared" si="3"/>
        <v>4789100</v>
      </c>
      <c r="N17" s="92">
        <f>O17*0.35</f>
        <v>25855672.984985378</v>
      </c>
      <c r="O17" s="11">
        <f t="shared" si="7"/>
        <v>73873351.38567251</v>
      </c>
      <c r="P17" s="93">
        <f t="shared" si="4"/>
        <v>2912456.8783801384</v>
      </c>
      <c r="Q17" s="95">
        <f t="shared" si="5"/>
        <v>107258122.47053424</v>
      </c>
      <c r="R17" s="9"/>
      <c r="S17" s="33"/>
      <c r="T17" s="33"/>
      <c r="U17" s="9"/>
      <c r="V17" s="33"/>
      <c r="W17" s="33"/>
    </row>
    <row r="18" spans="1:23" x14ac:dyDescent="0.35">
      <c r="A18" s="44">
        <v>2027</v>
      </c>
      <c r="B18" s="4">
        <v>188</v>
      </c>
      <c r="C18" s="61">
        <f t="shared" si="6"/>
        <v>141</v>
      </c>
      <c r="D18" s="10">
        <v>2615424</v>
      </c>
      <c r="E18" s="75">
        <f t="shared" si="0"/>
        <v>368774784</v>
      </c>
      <c r="F18" s="79">
        <v>124757380</v>
      </c>
      <c r="G18" s="76">
        <f t="shared" si="8"/>
        <v>219753681.548834</v>
      </c>
      <c r="H18" s="52">
        <f t="shared" si="1"/>
        <v>713285845.54883397</v>
      </c>
      <c r="I18" s="6">
        <v>2027</v>
      </c>
      <c r="J18" s="85">
        <v>3333</v>
      </c>
      <c r="K18" s="89">
        <f t="shared" si="9"/>
        <v>817</v>
      </c>
      <c r="L18" s="89">
        <f t="shared" si="2"/>
        <v>4150</v>
      </c>
      <c r="M18" s="17">
        <f t="shared" si="3"/>
        <v>4789100</v>
      </c>
      <c r="N18" s="92">
        <f>O18*0.35</f>
        <v>25984951.349910308</v>
      </c>
      <c r="O18" s="11">
        <f t="shared" si="7"/>
        <v>74242718.142600879</v>
      </c>
      <c r="P18" s="93">
        <f t="shared" si="4"/>
        <v>2927019.1627720399</v>
      </c>
      <c r="Q18" s="95">
        <f t="shared" si="5"/>
        <v>107794413.08288692</v>
      </c>
      <c r="R18" s="9"/>
      <c r="S18" s="33"/>
      <c r="T18" s="33"/>
      <c r="U18" s="9"/>
      <c r="V18" s="33"/>
      <c r="W18" s="33"/>
    </row>
    <row r="19" spans="1:23" x14ac:dyDescent="0.35">
      <c r="A19" s="44">
        <v>2028</v>
      </c>
      <c r="B19" s="4">
        <v>178</v>
      </c>
      <c r="C19" s="61">
        <f t="shared" si="6"/>
        <v>133.5</v>
      </c>
      <c r="D19" s="10">
        <v>1920845</v>
      </c>
      <c r="E19" s="75">
        <f t="shared" si="0"/>
        <v>256432807.5</v>
      </c>
      <c r="F19" s="79">
        <v>124757380</v>
      </c>
      <c r="G19" s="76">
        <f t="shared" si="8"/>
        <v>200558255.38657817</v>
      </c>
      <c r="H19" s="52">
        <f t="shared" si="1"/>
        <v>581748442.8865782</v>
      </c>
      <c r="I19" s="6">
        <v>2028</v>
      </c>
      <c r="J19" s="85">
        <v>3333</v>
      </c>
      <c r="K19" s="89">
        <f t="shared" si="9"/>
        <v>817</v>
      </c>
      <c r="L19" s="89">
        <f t="shared" si="2"/>
        <v>4150</v>
      </c>
      <c r="M19" s="17">
        <f t="shared" si="3"/>
        <v>4789100</v>
      </c>
      <c r="N19" s="92">
        <f>O19*0.35</f>
        <v>26114876.106659859</v>
      </c>
      <c r="O19" s="11">
        <f t="shared" si="7"/>
        <v>74613931.733313888</v>
      </c>
      <c r="P19" s="93">
        <f t="shared" si="4"/>
        <v>2941654.2585859001</v>
      </c>
      <c r="Q19" s="95">
        <f t="shared" si="5"/>
        <v>108333385.14830136</v>
      </c>
      <c r="R19" s="9"/>
      <c r="S19" s="33"/>
      <c r="T19" s="33"/>
      <c r="U19" s="9"/>
      <c r="V19" s="33"/>
      <c r="W19" s="33"/>
    </row>
    <row r="20" spans="1:23" x14ac:dyDescent="0.35">
      <c r="A20" s="44">
        <v>2029</v>
      </c>
      <c r="B20" s="4">
        <v>168</v>
      </c>
      <c r="C20" s="61">
        <f t="shared" si="6"/>
        <v>126</v>
      </c>
      <c r="D20" s="10">
        <v>1387136</v>
      </c>
      <c r="E20" s="75">
        <f t="shared" si="0"/>
        <v>174779136</v>
      </c>
      <c r="F20" s="79">
        <v>124757380</v>
      </c>
      <c r="G20" s="76">
        <f t="shared" si="8"/>
        <v>179279964.33351102</v>
      </c>
      <c r="H20" s="52">
        <f t="shared" si="1"/>
        <v>478816480.33351099</v>
      </c>
      <c r="I20" s="6">
        <v>2029</v>
      </c>
      <c r="J20" s="85">
        <v>3333</v>
      </c>
      <c r="K20" s="89">
        <f t="shared" si="9"/>
        <v>817</v>
      </c>
      <c r="L20" s="89">
        <f t="shared" si="2"/>
        <v>4150</v>
      </c>
      <c r="M20" s="17">
        <f t="shared" si="3"/>
        <v>4789100</v>
      </c>
      <c r="N20" s="92">
        <f>O20*0.35</f>
        <v>26245450.487193156</v>
      </c>
      <c r="O20" s="11">
        <f t="shared" si="7"/>
        <v>74987001.391980454</v>
      </c>
      <c r="P20" s="93">
        <f t="shared" si="4"/>
        <v>2956362.5298788296</v>
      </c>
      <c r="Q20" s="95">
        <f t="shared" si="5"/>
        <v>108875052.07404287</v>
      </c>
      <c r="R20" s="9"/>
      <c r="S20" s="33"/>
      <c r="T20" s="33"/>
      <c r="U20" s="9"/>
      <c r="V20" s="33"/>
      <c r="W20" s="33"/>
    </row>
    <row r="21" spans="1:23" x14ac:dyDescent="0.35">
      <c r="A21" s="44">
        <v>2030</v>
      </c>
      <c r="B21" s="4">
        <v>158</v>
      </c>
      <c r="C21" s="61">
        <f t="shared" si="6"/>
        <v>118.5</v>
      </c>
      <c r="D21" s="10">
        <v>1068680</v>
      </c>
      <c r="E21" s="75">
        <f t="shared" si="0"/>
        <v>126638580</v>
      </c>
      <c r="F21" s="79">
        <v>124757380</v>
      </c>
      <c r="G21" s="76">
        <f t="shared" si="8"/>
        <v>304161912.59311229</v>
      </c>
      <c r="H21" s="52">
        <f t="shared" si="1"/>
        <v>555557872.59311223</v>
      </c>
      <c r="I21" s="6">
        <v>2030</v>
      </c>
      <c r="J21" s="85">
        <v>3333</v>
      </c>
      <c r="K21" s="89">
        <f t="shared" si="9"/>
        <v>817</v>
      </c>
      <c r="L21" s="89">
        <f t="shared" si="2"/>
        <v>4150</v>
      </c>
      <c r="M21" s="17">
        <f t="shared" si="3"/>
        <v>4789100</v>
      </c>
      <c r="N21" s="92">
        <f t="shared" ref="N21:N31" si="10">O21*0.5</f>
        <v>37680968.199470177</v>
      </c>
      <c r="O21" s="11">
        <f t="shared" si="7"/>
        <v>75361936.398940355</v>
      </c>
      <c r="P21" s="93">
        <f t="shared" si="4"/>
        <v>2971144.3425282235</v>
      </c>
      <c r="Q21" s="95">
        <f t="shared" si="5"/>
        <v>109419427.33441308</v>
      </c>
      <c r="R21" s="9"/>
      <c r="S21" s="33"/>
      <c r="T21" s="33"/>
      <c r="U21" s="9"/>
      <c r="V21" s="33"/>
      <c r="W21" s="33"/>
    </row>
    <row r="22" spans="1:23" x14ac:dyDescent="0.35">
      <c r="A22" s="44">
        <v>2031</v>
      </c>
      <c r="B22" s="4">
        <v>148</v>
      </c>
      <c r="C22" s="61">
        <f t="shared" si="6"/>
        <v>111</v>
      </c>
      <c r="D22" s="10">
        <f>D21-300000</f>
        <v>768680</v>
      </c>
      <c r="E22" s="75">
        <f t="shared" si="0"/>
        <v>85323480</v>
      </c>
      <c r="F22" s="79">
        <v>124757380</v>
      </c>
      <c r="G22" s="76">
        <f t="shared" si="8"/>
        <v>282591465.52607787</v>
      </c>
      <c r="H22" s="52">
        <f t="shared" si="1"/>
        <v>492672325.52607787</v>
      </c>
      <c r="I22" s="6">
        <v>2031</v>
      </c>
      <c r="J22" s="85">
        <v>3333</v>
      </c>
      <c r="K22" s="89">
        <f t="shared" si="9"/>
        <v>817</v>
      </c>
      <c r="L22" s="89">
        <f t="shared" si="2"/>
        <v>4150</v>
      </c>
      <c r="M22" s="17">
        <f t="shared" si="3"/>
        <v>4789100</v>
      </c>
      <c r="N22" s="92">
        <f t="shared" si="10"/>
        <v>37869373.04046753</v>
      </c>
      <c r="O22" s="11">
        <f t="shared" si="7"/>
        <v>75738746.080935061</v>
      </c>
      <c r="P22" s="93">
        <f t="shared" si="4"/>
        <v>2986000.0642408649</v>
      </c>
      <c r="Q22" s="95">
        <f t="shared" si="5"/>
        <v>109966524.47108515</v>
      </c>
      <c r="R22" s="9"/>
      <c r="S22" s="33"/>
      <c r="T22" s="33"/>
      <c r="U22" s="9"/>
      <c r="V22" s="33"/>
      <c r="W22" s="33"/>
    </row>
    <row r="23" spans="1:23" x14ac:dyDescent="0.35">
      <c r="A23" s="44">
        <v>2032</v>
      </c>
      <c r="B23" s="4">
        <v>138</v>
      </c>
      <c r="C23" s="61">
        <f t="shared" si="6"/>
        <v>103.5</v>
      </c>
      <c r="D23" s="10">
        <f t="shared" ref="D23:D24" si="11">D22-300000</f>
        <v>468680</v>
      </c>
      <c r="E23" s="75">
        <f t="shared" si="0"/>
        <v>48508380</v>
      </c>
      <c r="F23" s="79">
        <v>124757380</v>
      </c>
      <c r="G23" s="76">
        <f t="shared" si="8"/>
        <v>261033264.77370828</v>
      </c>
      <c r="H23" s="52">
        <f t="shared" si="1"/>
        <v>434299024.77370828</v>
      </c>
      <c r="I23" s="6">
        <v>2032</v>
      </c>
      <c r="J23" s="85">
        <v>3333</v>
      </c>
      <c r="K23" s="89">
        <f t="shared" si="9"/>
        <v>817</v>
      </c>
      <c r="L23" s="89">
        <f t="shared" si="2"/>
        <v>4150</v>
      </c>
      <c r="M23" s="17">
        <f t="shared" si="3"/>
        <v>4789100</v>
      </c>
      <c r="N23" s="92">
        <f t="shared" si="10"/>
        <v>38058719.905669868</v>
      </c>
      <c r="O23" s="11">
        <f t="shared" si="7"/>
        <v>76117439.811339736</v>
      </c>
      <c r="P23" s="93">
        <f t="shared" si="4"/>
        <v>3000930.0645620688</v>
      </c>
      <c r="Q23" s="95">
        <f t="shared" si="5"/>
        <v>110516357.09344058</v>
      </c>
      <c r="R23" s="9"/>
      <c r="S23" s="33"/>
      <c r="T23" s="33"/>
      <c r="U23" s="9"/>
      <c r="V23" s="33"/>
      <c r="W23" s="33"/>
    </row>
    <row r="24" spans="1:23" x14ac:dyDescent="0.35">
      <c r="A24" s="44">
        <v>2033</v>
      </c>
      <c r="B24" s="4">
        <v>128</v>
      </c>
      <c r="C24" s="61">
        <f t="shared" si="6"/>
        <v>96</v>
      </c>
      <c r="D24" s="10">
        <f t="shared" si="11"/>
        <v>168680</v>
      </c>
      <c r="E24" s="75">
        <f t="shared" si="0"/>
        <v>16193280</v>
      </c>
      <c r="F24" s="79">
        <v>124757380</v>
      </c>
      <c r="G24" s="76">
        <f t="shared" si="8"/>
        <v>239487371.56757683</v>
      </c>
      <c r="H24" s="52">
        <f t="shared" si="1"/>
        <v>380438031.56757683</v>
      </c>
      <c r="I24" s="6">
        <v>2033</v>
      </c>
      <c r="J24" s="85">
        <v>3333</v>
      </c>
      <c r="K24" s="89">
        <f t="shared" si="9"/>
        <v>817</v>
      </c>
      <c r="L24" s="89">
        <f t="shared" si="2"/>
        <v>4150</v>
      </c>
      <c r="M24" s="17">
        <f t="shared" si="3"/>
        <v>4789100</v>
      </c>
      <c r="N24" s="92">
        <f t="shared" si="10"/>
        <v>38249013.505198218</v>
      </c>
      <c r="O24" s="11">
        <f t="shared" si="7"/>
        <v>76498027.010396436</v>
      </c>
      <c r="P24" s="93">
        <f t="shared" si="4"/>
        <v>3015934.7148848795</v>
      </c>
      <c r="Q24" s="95">
        <f t="shared" si="5"/>
        <v>111068938.87890778</v>
      </c>
      <c r="R24" s="9"/>
      <c r="S24" s="33"/>
      <c r="T24" s="33"/>
      <c r="U24" s="9"/>
      <c r="V24" s="33"/>
      <c r="W24" s="33"/>
    </row>
    <row r="25" spans="1:23" x14ac:dyDescent="0.35">
      <c r="A25" s="44">
        <v>2034</v>
      </c>
      <c r="B25" s="4">
        <v>118</v>
      </c>
      <c r="C25" s="61">
        <f t="shared" si="6"/>
        <v>88.5</v>
      </c>
      <c r="D25" s="10">
        <v>50000</v>
      </c>
      <c r="E25" s="75">
        <f t="shared" si="0"/>
        <v>4425000</v>
      </c>
      <c r="F25" s="79">
        <v>124757380</v>
      </c>
      <c r="G25" s="76">
        <f t="shared" si="8"/>
        <v>215596687.44541472</v>
      </c>
      <c r="H25" s="52">
        <f t="shared" si="1"/>
        <v>344779067.44541472</v>
      </c>
      <c r="I25" s="6">
        <v>2034</v>
      </c>
      <c r="J25" s="85">
        <v>3333</v>
      </c>
      <c r="K25" s="89">
        <f t="shared" si="9"/>
        <v>817</v>
      </c>
      <c r="L25" s="89">
        <f t="shared" si="2"/>
        <v>4150</v>
      </c>
      <c r="M25" s="17">
        <f t="shared" si="3"/>
        <v>4789100</v>
      </c>
      <c r="N25" s="92">
        <f t="shared" si="10"/>
        <v>38440258.572724208</v>
      </c>
      <c r="O25" s="11">
        <f t="shared" si="7"/>
        <v>76880517.145448416</v>
      </c>
      <c r="P25" s="93">
        <f t="shared" si="4"/>
        <v>3031014.3884593039</v>
      </c>
      <c r="Q25" s="95">
        <f t="shared" si="5"/>
        <v>111624283.57330231</v>
      </c>
      <c r="R25" s="9"/>
      <c r="S25" s="33"/>
      <c r="T25" s="33"/>
      <c r="U25" s="9"/>
      <c r="V25" s="33"/>
      <c r="W25" s="33"/>
    </row>
    <row r="26" spans="1:23" x14ac:dyDescent="0.35">
      <c r="A26" s="44">
        <v>2035</v>
      </c>
      <c r="B26" s="4"/>
      <c r="C26" s="61"/>
      <c r="D26" s="10"/>
      <c r="E26" s="75">
        <f t="shared" si="0"/>
        <v>0</v>
      </c>
      <c r="F26" s="79">
        <f t="shared" ref="F26:F31" si="12">$F$25-F11</f>
        <v>124406862</v>
      </c>
      <c r="G26" s="76">
        <f t="shared" si="8"/>
        <v>190825594.2526418</v>
      </c>
      <c r="H26" s="52">
        <f t="shared" si="1"/>
        <v>315232456.2526418</v>
      </c>
      <c r="I26" s="6">
        <v>2035</v>
      </c>
      <c r="J26" s="85">
        <v>3333</v>
      </c>
      <c r="K26" s="89">
        <f t="shared" si="9"/>
        <v>817</v>
      </c>
      <c r="L26" s="89">
        <f t="shared" si="2"/>
        <v>4150</v>
      </c>
      <c r="M26" s="17">
        <f t="shared" si="3"/>
        <v>4789100</v>
      </c>
      <c r="N26" s="92">
        <f t="shared" si="10"/>
        <v>38632459.865587831</v>
      </c>
      <c r="O26" s="11">
        <f t="shared" si="7"/>
        <v>77264919.731175661</v>
      </c>
      <c r="P26" s="93">
        <f t="shared" si="4"/>
        <v>3046169.4604016002</v>
      </c>
      <c r="Q26" s="95">
        <f t="shared" si="5"/>
        <v>112182404.99116883</v>
      </c>
      <c r="R26" s="9"/>
      <c r="S26" s="33"/>
      <c r="T26" s="33"/>
      <c r="U26" s="9"/>
      <c r="V26" s="33"/>
      <c r="W26" s="33"/>
    </row>
    <row r="27" spans="1:23" x14ac:dyDescent="0.35">
      <c r="A27" s="44">
        <v>2036</v>
      </c>
      <c r="B27" s="4"/>
      <c r="C27" s="61"/>
      <c r="D27" s="10"/>
      <c r="E27" s="75">
        <f t="shared" si="0"/>
        <v>0</v>
      </c>
      <c r="F27" s="79">
        <f t="shared" si="12"/>
        <v>106091094</v>
      </c>
      <c r="G27" s="76">
        <f t="shared" si="8"/>
        <v>193336704.14390501</v>
      </c>
      <c r="H27" s="52">
        <f t="shared" si="1"/>
        <v>299427798.14390504</v>
      </c>
      <c r="I27" s="6">
        <v>2036</v>
      </c>
      <c r="J27" s="85">
        <v>3333</v>
      </c>
      <c r="K27" s="89">
        <f t="shared" si="9"/>
        <v>817</v>
      </c>
      <c r="L27" s="89">
        <f t="shared" si="2"/>
        <v>4150</v>
      </c>
      <c r="M27" s="17">
        <f t="shared" si="3"/>
        <v>4789100</v>
      </c>
      <c r="N27" s="92">
        <f t="shared" si="10"/>
        <v>38825622.16491577</v>
      </c>
      <c r="O27" s="11">
        <f t="shared" si="7"/>
        <v>77651244.329831541</v>
      </c>
      <c r="P27" s="93">
        <f t="shared" si="4"/>
        <v>3061400.3077036086</v>
      </c>
      <c r="Q27" s="95">
        <f t="shared" si="5"/>
        <v>112743317.01612468</v>
      </c>
      <c r="R27" s="9"/>
      <c r="S27" s="33"/>
      <c r="T27" s="33"/>
      <c r="U27" s="9"/>
      <c r="V27" s="33"/>
      <c r="W27" s="33"/>
    </row>
    <row r="28" spans="1:23" x14ac:dyDescent="0.35">
      <c r="A28" s="44">
        <v>2037</v>
      </c>
      <c r="B28" s="4"/>
      <c r="C28" s="61"/>
      <c r="D28" s="10"/>
      <c r="E28" s="75">
        <f t="shared" si="0"/>
        <v>0</v>
      </c>
      <c r="F28" s="79">
        <f t="shared" si="12"/>
        <v>59060073</v>
      </c>
      <c r="G28" s="76">
        <f t="shared" si="8"/>
        <v>195860369.58462453</v>
      </c>
      <c r="H28" s="52">
        <f t="shared" si="1"/>
        <v>254920442.58462453</v>
      </c>
      <c r="I28" s="6">
        <v>2037</v>
      </c>
      <c r="J28" s="85">
        <v>3333</v>
      </c>
      <c r="K28" s="89">
        <f t="shared" si="9"/>
        <v>817</v>
      </c>
      <c r="L28" s="89">
        <f t="shared" si="2"/>
        <v>4150</v>
      </c>
      <c r="M28" s="17">
        <f t="shared" si="3"/>
        <v>4789100</v>
      </c>
      <c r="N28" s="92">
        <f t="shared" si="10"/>
        <v>39019750.275740348</v>
      </c>
      <c r="O28" s="11">
        <f t="shared" si="7"/>
        <v>78039500.551480696</v>
      </c>
      <c r="P28" s="93">
        <f t="shared" si="4"/>
        <v>3076707.3092421265</v>
      </c>
      <c r="Q28" s="95">
        <f t="shared" si="5"/>
        <v>113307033.6012053</v>
      </c>
      <c r="R28" s="9"/>
      <c r="S28" s="33"/>
      <c r="T28" s="33"/>
      <c r="U28" s="9"/>
      <c r="V28" s="33"/>
      <c r="W28" s="33"/>
    </row>
    <row r="29" spans="1:23" x14ac:dyDescent="0.35">
      <c r="A29" s="44">
        <v>2038</v>
      </c>
      <c r="B29" s="4"/>
      <c r="C29" s="61"/>
      <c r="D29" s="10"/>
      <c r="E29" s="75">
        <f t="shared" si="0"/>
        <v>0</v>
      </c>
      <c r="F29" s="79">
        <f t="shared" si="12"/>
        <v>13972491</v>
      </c>
      <c r="G29" s="76">
        <f t="shared" si="8"/>
        <v>198396653.35254762</v>
      </c>
      <c r="H29" s="52">
        <f t="shared" si="1"/>
        <v>212369144.35254762</v>
      </c>
      <c r="I29" s="6">
        <v>2038</v>
      </c>
      <c r="J29" s="85">
        <v>3333</v>
      </c>
      <c r="K29" s="89">
        <f t="shared" si="9"/>
        <v>817</v>
      </c>
      <c r="L29" s="89">
        <f t="shared" si="2"/>
        <v>4150</v>
      </c>
      <c r="M29" s="17">
        <f t="shared" si="3"/>
        <v>4789100</v>
      </c>
      <c r="N29" s="92">
        <f t="shared" si="10"/>
        <v>39214849.027119048</v>
      </c>
      <c r="O29" s="11">
        <f t="shared" si="7"/>
        <v>78429698.054238096</v>
      </c>
      <c r="P29" s="93">
        <f t="shared" si="4"/>
        <v>3092090.8457883368</v>
      </c>
      <c r="Q29" s="95">
        <f t="shared" si="5"/>
        <v>113873568.76921132</v>
      </c>
      <c r="R29" s="9"/>
      <c r="S29" s="33"/>
      <c r="T29" s="33"/>
      <c r="U29" s="9"/>
      <c r="V29" s="33"/>
      <c r="W29" s="33"/>
    </row>
    <row r="30" spans="1:23" x14ac:dyDescent="0.35">
      <c r="A30" s="44">
        <v>2039</v>
      </c>
      <c r="B30" s="4"/>
      <c r="C30" s="61"/>
      <c r="D30" s="10"/>
      <c r="E30" s="75">
        <f t="shared" si="0"/>
        <v>0</v>
      </c>
      <c r="F30" s="79">
        <f t="shared" si="12"/>
        <v>0</v>
      </c>
      <c r="G30" s="76">
        <f t="shared" si="8"/>
        <v>200945618.5393104</v>
      </c>
      <c r="H30" s="52">
        <f t="shared" si="1"/>
        <v>200945618.5393104</v>
      </c>
      <c r="I30" s="6">
        <v>2039</v>
      </c>
      <c r="J30" s="85">
        <v>3333</v>
      </c>
      <c r="K30" s="89">
        <f t="shared" si="9"/>
        <v>817</v>
      </c>
      <c r="L30" s="89">
        <f t="shared" si="2"/>
        <v>4150</v>
      </c>
      <c r="M30" s="17">
        <f t="shared" si="3"/>
        <v>4789100</v>
      </c>
      <c r="N30" s="92">
        <f t="shared" si="10"/>
        <v>39410923.272254646</v>
      </c>
      <c r="O30" s="11">
        <f t="shared" si="7"/>
        <v>78821846.544509292</v>
      </c>
      <c r="P30" s="93">
        <f t="shared" si="4"/>
        <v>3107551.3000172791</v>
      </c>
      <c r="Q30" s="95">
        <f t="shared" si="5"/>
        <v>114442936.61305739</v>
      </c>
      <c r="R30" s="9"/>
      <c r="S30" s="33"/>
      <c r="T30" s="33"/>
      <c r="U30" s="9"/>
      <c r="V30" s="33"/>
      <c r="W30" s="33"/>
    </row>
    <row r="31" spans="1:23" ht="15" thickBot="1" x14ac:dyDescent="0.4">
      <c r="A31" s="44">
        <v>2040</v>
      </c>
      <c r="B31" s="63"/>
      <c r="C31" s="64"/>
      <c r="D31" s="65"/>
      <c r="E31" s="65">
        <f t="shared" si="0"/>
        <v>0</v>
      </c>
      <c r="F31" s="81">
        <f t="shared" si="12"/>
        <v>0</v>
      </c>
      <c r="G31" s="80">
        <f t="shared" si="8"/>
        <v>203507328.55200696</v>
      </c>
      <c r="H31" s="66">
        <f t="shared" si="1"/>
        <v>203507328.55200696</v>
      </c>
      <c r="I31" s="114">
        <v>2040</v>
      </c>
      <c r="J31" s="86">
        <v>3333</v>
      </c>
      <c r="K31" s="90">
        <f t="shared" si="9"/>
        <v>817</v>
      </c>
      <c r="L31" s="90">
        <f t="shared" si="2"/>
        <v>4150</v>
      </c>
      <c r="M31" s="71">
        <f t="shared" si="3"/>
        <v>4789100</v>
      </c>
      <c r="N31" s="94">
        <f t="shared" si="10"/>
        <v>39607977.888615921</v>
      </c>
      <c r="O31" s="72">
        <f t="shared" si="7"/>
        <v>79215955.777231842</v>
      </c>
      <c r="P31" s="115">
        <f t="shared" si="4"/>
        <v>3123089.0565173654</v>
      </c>
      <c r="Q31" s="96">
        <f t="shared" si="5"/>
        <v>115015151.29612267</v>
      </c>
      <c r="R31" s="9"/>
      <c r="S31" s="33"/>
      <c r="T31" s="33"/>
      <c r="U31" s="9"/>
      <c r="V31" s="33"/>
      <c r="W31" s="33"/>
    </row>
    <row r="32" spans="1:23" x14ac:dyDescent="0.35">
      <c r="A32" s="44"/>
      <c r="E32" s="2"/>
      <c r="F32" s="10"/>
      <c r="G32" s="10"/>
      <c r="H32" s="10"/>
      <c r="I32" s="32"/>
      <c r="J32" s="10"/>
      <c r="K32" s="9"/>
      <c r="L32" s="9"/>
      <c r="M32" s="17"/>
      <c r="N32" s="11"/>
      <c r="O32" s="11"/>
      <c r="P32" s="11"/>
      <c r="Q32" s="11"/>
      <c r="R32" s="10"/>
      <c r="S32" s="7"/>
      <c r="T32" s="7"/>
      <c r="U32" s="10"/>
      <c r="V32" s="7"/>
      <c r="W32" s="7"/>
    </row>
    <row r="33" spans="1:47" x14ac:dyDescent="0.35">
      <c r="A33" s="44"/>
      <c r="B33" s="22"/>
      <c r="E33" s="2"/>
      <c r="F33" s="34" t="s">
        <v>34</v>
      </c>
      <c r="G33" s="131">
        <v>13</v>
      </c>
      <c r="L33" s="9"/>
      <c r="M33" s="17"/>
      <c r="N33" s="11"/>
      <c r="O33" s="22"/>
      <c r="Q33" s="11"/>
      <c r="R33" s="10"/>
      <c r="S33" s="7"/>
      <c r="T33" s="7"/>
      <c r="U33" s="10"/>
      <c r="V33" s="7"/>
      <c r="W33" s="7"/>
    </row>
    <row r="34" spans="1:47" ht="15" thickBot="1" x14ac:dyDescent="0.4">
      <c r="A34" s="6"/>
      <c r="E34" s="2"/>
      <c r="F34" s="10"/>
      <c r="G34" s="10"/>
      <c r="H34" s="10"/>
      <c r="I34" s="32"/>
      <c r="J34" s="10"/>
      <c r="K34" s="9"/>
      <c r="L34" s="9"/>
      <c r="M34" s="17"/>
      <c r="N34" s="11"/>
      <c r="O34" s="11"/>
      <c r="P34" s="11"/>
      <c r="Q34" s="11"/>
      <c r="T34" s="7"/>
      <c r="U34" s="10"/>
      <c r="V34" s="7"/>
      <c r="W34" s="7"/>
    </row>
    <row r="35" spans="1:47" ht="56" customHeight="1" thickBot="1" x14ac:dyDescent="0.5">
      <c r="A35" s="7"/>
      <c r="B35" s="203" t="s">
        <v>67</v>
      </c>
      <c r="C35" s="204"/>
      <c r="D35" s="205"/>
      <c r="F35" s="203" t="s">
        <v>71</v>
      </c>
      <c r="G35" s="204"/>
      <c r="H35" s="204"/>
      <c r="I35" s="204"/>
      <c r="J35" s="204"/>
      <c r="K35" s="204"/>
      <c r="L35" s="204"/>
      <c r="M35" s="205"/>
      <c r="O35" s="199" t="s">
        <v>65</v>
      </c>
      <c r="P35" s="200"/>
      <c r="R35" s="201" t="s">
        <v>64</v>
      </c>
      <c r="S35" s="202"/>
    </row>
    <row r="36" spans="1:47" ht="43.5" customHeight="1" x14ac:dyDescent="0.35">
      <c r="A36" s="7"/>
      <c r="B36" s="141" t="s">
        <v>15</v>
      </c>
      <c r="C36" s="229" t="s">
        <v>13</v>
      </c>
      <c r="D36" s="230"/>
      <c r="F36" s="139" t="s">
        <v>41</v>
      </c>
      <c r="G36" s="140" t="s">
        <v>40</v>
      </c>
      <c r="H36" s="140" t="s">
        <v>43</v>
      </c>
      <c r="I36" s="140" t="s">
        <v>42</v>
      </c>
      <c r="J36" s="145" t="s">
        <v>44</v>
      </c>
      <c r="K36" s="224" t="s">
        <v>28</v>
      </c>
      <c r="L36" s="225"/>
      <c r="M36" s="226"/>
      <c r="O36" s="142" t="s">
        <v>33</v>
      </c>
      <c r="P36" s="178" t="s">
        <v>14</v>
      </c>
      <c r="R36" s="227" t="s">
        <v>66</v>
      </c>
      <c r="S36" s="228"/>
    </row>
    <row r="37" spans="1:47" ht="58" x14ac:dyDescent="0.35">
      <c r="A37" s="109" t="s">
        <v>1</v>
      </c>
      <c r="B37" s="106" t="s">
        <v>60</v>
      </c>
      <c r="C37" s="97">
        <v>5.0000000000000001E-3</v>
      </c>
      <c r="D37" s="146" t="s">
        <v>68</v>
      </c>
      <c r="E37" s="109" t="s">
        <v>1</v>
      </c>
      <c r="F37" s="152" t="s">
        <v>26</v>
      </c>
      <c r="G37" s="151" t="s">
        <v>26</v>
      </c>
      <c r="H37" s="151" t="s">
        <v>26</v>
      </c>
      <c r="I37" s="151" t="s">
        <v>26</v>
      </c>
      <c r="J37" s="151" t="s">
        <v>27</v>
      </c>
      <c r="K37" s="152" t="s">
        <v>26</v>
      </c>
      <c r="L37" s="151" t="s">
        <v>29</v>
      </c>
      <c r="M37" s="153" t="s">
        <v>27</v>
      </c>
      <c r="O37" s="111" t="s">
        <v>17</v>
      </c>
      <c r="P37" s="15" t="s">
        <v>61</v>
      </c>
      <c r="R37" s="122" t="s">
        <v>62</v>
      </c>
      <c r="S37" s="154" t="s">
        <v>63</v>
      </c>
      <c r="T37" s="109" t="s">
        <v>1</v>
      </c>
    </row>
    <row r="38" spans="1:47" x14ac:dyDescent="0.35">
      <c r="A38" s="144">
        <v>2019</v>
      </c>
      <c r="B38" s="107">
        <v>10010000000</v>
      </c>
      <c r="C38" s="98">
        <f>B38</f>
        <v>10010000000</v>
      </c>
      <c r="D38" s="134">
        <f t="shared" ref="D38:D59" si="13">C38+J38+M38</f>
        <v>10084800000</v>
      </c>
      <c r="E38" s="158">
        <v>2019</v>
      </c>
      <c r="F38" s="104">
        <v>747</v>
      </c>
      <c r="G38" s="33">
        <v>1</v>
      </c>
      <c r="H38" s="33">
        <f>(L68+M68)*0.46</f>
        <v>0</v>
      </c>
      <c r="I38" s="33">
        <f>F38+G38+H38</f>
        <v>748</v>
      </c>
      <c r="J38" s="9">
        <f>I38*100000</f>
        <v>74800000</v>
      </c>
      <c r="K38" s="4">
        <v>0</v>
      </c>
      <c r="L38" s="10">
        <f>K38*0.35*8766</f>
        <v>0</v>
      </c>
      <c r="M38" s="101">
        <f>L38*50</f>
        <v>0</v>
      </c>
      <c r="O38" s="112">
        <v>0.09</v>
      </c>
      <c r="P38" s="95">
        <f t="shared" ref="P38:P59" si="14">O38*D38</f>
        <v>907632000</v>
      </c>
      <c r="R38" s="149">
        <f t="shared" ref="R38:R59" si="15">$P38-($H10-(SUM($P10:$Q10)))</f>
        <v>308481289.89614952</v>
      </c>
      <c r="S38" s="155">
        <f>R38</f>
        <v>308481289.89614952</v>
      </c>
      <c r="T38" s="143">
        <v>2019</v>
      </c>
      <c r="AD38" s="55"/>
      <c r="AE38" s="40"/>
      <c r="AF38" s="40"/>
      <c r="AG38" s="40"/>
      <c r="AH38" s="40"/>
      <c r="AI38" s="55"/>
      <c r="AJ38" s="55"/>
      <c r="AK38" s="40"/>
      <c r="AL38" s="33"/>
      <c r="AM38" s="40"/>
      <c r="AN38" s="55"/>
      <c r="AO38" s="55"/>
      <c r="AP38" s="33"/>
      <c r="AQ38" s="55"/>
      <c r="AR38" s="55"/>
      <c r="AS38" s="55"/>
      <c r="AT38" s="56"/>
      <c r="AU38" s="33"/>
    </row>
    <row r="39" spans="1:47" x14ac:dyDescent="0.35">
      <c r="A39" s="6">
        <v>2020</v>
      </c>
      <c r="B39" s="108">
        <v>9837000000</v>
      </c>
      <c r="C39" s="29">
        <f>B39</f>
        <v>9837000000</v>
      </c>
      <c r="D39" s="95">
        <f t="shared" si="13"/>
        <v>9919600000</v>
      </c>
      <c r="E39" s="6">
        <v>2020</v>
      </c>
      <c r="F39" s="104">
        <v>817</v>
      </c>
      <c r="G39" s="33">
        <v>9</v>
      </c>
      <c r="H39" s="33">
        <f>(L69+M69)*0.46</f>
        <v>0</v>
      </c>
      <c r="I39" s="33">
        <f t="shared" ref="I39:I59" si="16">F39+G39+H39</f>
        <v>826</v>
      </c>
      <c r="J39" s="9">
        <f t="shared" ref="J39:J59" si="17">I39*100000</f>
        <v>82600000</v>
      </c>
      <c r="K39" s="4">
        <v>0</v>
      </c>
      <c r="L39" s="10">
        <f t="shared" ref="L39:L40" si="18">K39*0.35*8766</f>
        <v>0</v>
      </c>
      <c r="M39" s="101">
        <f t="shared" ref="M39" si="19">L39*50</f>
        <v>0</v>
      </c>
      <c r="O39" s="112">
        <v>0.09</v>
      </c>
      <c r="P39" s="95">
        <f t="shared" si="14"/>
        <v>892764000</v>
      </c>
      <c r="R39" s="149">
        <f t="shared" si="15"/>
        <v>169772203.75457656</v>
      </c>
      <c r="S39" s="156">
        <f>S38+R39</f>
        <v>478253493.65072608</v>
      </c>
      <c r="T39" s="6">
        <v>2020</v>
      </c>
      <c r="AD39" s="55"/>
      <c r="AE39" s="40"/>
      <c r="AF39" s="40"/>
      <c r="AG39" s="40"/>
      <c r="AH39" s="40"/>
      <c r="AI39" s="55"/>
      <c r="AJ39" s="55"/>
      <c r="AK39" s="40"/>
      <c r="AL39" s="33"/>
      <c r="AM39" s="40"/>
      <c r="AN39" s="55"/>
      <c r="AO39" s="55"/>
      <c r="AP39" s="33"/>
      <c r="AQ39" s="55"/>
      <c r="AR39" s="55"/>
      <c r="AS39" s="55"/>
      <c r="AT39" s="56"/>
      <c r="AU39" s="33"/>
    </row>
    <row r="40" spans="1:47" x14ac:dyDescent="0.35">
      <c r="A40" s="6">
        <v>2021</v>
      </c>
      <c r="B40" s="85"/>
      <c r="C40" s="53">
        <f t="shared" ref="C40:C59" si="20">C39+(C39*$C$37)</f>
        <v>9886185000</v>
      </c>
      <c r="D40" s="95">
        <f t="shared" si="13"/>
        <v>9964885000</v>
      </c>
      <c r="E40" s="6">
        <v>2021</v>
      </c>
      <c r="F40" s="104">
        <v>712</v>
      </c>
      <c r="G40" s="33">
        <v>75</v>
      </c>
      <c r="H40" s="33">
        <f>(L70+M70)*0.46</f>
        <v>0</v>
      </c>
      <c r="I40" s="33">
        <f t="shared" si="16"/>
        <v>787</v>
      </c>
      <c r="J40" s="9">
        <f t="shared" si="17"/>
        <v>78700000</v>
      </c>
      <c r="K40" s="4">
        <v>0</v>
      </c>
      <c r="L40" s="10">
        <f t="shared" si="18"/>
        <v>0</v>
      </c>
      <c r="M40" s="101">
        <f>L40*50</f>
        <v>0</v>
      </c>
      <c r="O40" s="112">
        <v>0.09</v>
      </c>
      <c r="P40" s="95">
        <f t="shared" si="14"/>
        <v>896839650</v>
      </c>
      <c r="R40" s="149">
        <f t="shared" si="15"/>
        <v>139152492.94226563</v>
      </c>
      <c r="S40" s="156">
        <f t="shared" ref="S40:S58" si="21">S39+R40</f>
        <v>617405986.59299171</v>
      </c>
      <c r="T40" s="6">
        <v>2021</v>
      </c>
      <c r="AD40" s="55"/>
      <c r="AE40" s="40"/>
      <c r="AF40" s="40"/>
      <c r="AG40" s="40"/>
      <c r="AH40" s="40"/>
      <c r="AI40" s="55"/>
      <c r="AJ40" s="55"/>
      <c r="AK40" s="40"/>
      <c r="AL40" s="33"/>
      <c r="AM40" s="40"/>
      <c r="AN40" s="55"/>
      <c r="AO40" s="55"/>
      <c r="AP40" s="33"/>
      <c r="AQ40" s="55"/>
      <c r="AR40" s="55"/>
      <c r="AS40" s="55"/>
      <c r="AT40" s="56"/>
      <c r="AU40" s="33"/>
    </row>
    <row r="41" spans="1:47" x14ac:dyDescent="0.35">
      <c r="A41" s="6">
        <v>2022</v>
      </c>
      <c r="B41" s="85"/>
      <c r="C41" s="53">
        <f t="shared" si="20"/>
        <v>9935615925</v>
      </c>
      <c r="D41" s="95">
        <f t="shared" si="13"/>
        <v>10016055925</v>
      </c>
      <c r="E41" s="6">
        <v>2022</v>
      </c>
      <c r="F41" s="104">
        <v>573</v>
      </c>
      <c r="G41" s="33">
        <v>75</v>
      </c>
      <c r="H41" s="33">
        <f>(L71+M71)*0.46</f>
        <v>156.4</v>
      </c>
      <c r="I41" s="33">
        <f t="shared" si="16"/>
        <v>804.4</v>
      </c>
      <c r="J41" s="9">
        <f t="shared" si="17"/>
        <v>80440000</v>
      </c>
      <c r="K41" s="4">
        <v>0</v>
      </c>
      <c r="L41" s="10">
        <f>K41*0.35*8766</f>
        <v>0</v>
      </c>
      <c r="M41" s="101">
        <f t="shared" ref="M41:M48" si="22">L41*50</f>
        <v>0</v>
      </c>
      <c r="O41" s="112">
        <v>7.0000000000000007E-2</v>
      </c>
      <c r="P41" s="95">
        <f t="shared" si="14"/>
        <v>701123914.75000012</v>
      </c>
      <c r="R41" s="149">
        <f t="shared" si="15"/>
        <v>-99930317.625384808</v>
      </c>
      <c r="S41" s="156">
        <f t="shared" si="21"/>
        <v>517475668.9676069</v>
      </c>
      <c r="T41" s="6">
        <v>2022</v>
      </c>
      <c r="AD41" s="55"/>
      <c r="AE41" s="40"/>
      <c r="AF41" s="40"/>
      <c r="AG41" s="40"/>
      <c r="AH41" s="40"/>
      <c r="AI41" s="55"/>
      <c r="AJ41" s="55"/>
      <c r="AK41" s="40"/>
      <c r="AL41" s="33"/>
      <c r="AM41" s="40"/>
      <c r="AN41" s="55"/>
      <c r="AO41" s="55"/>
      <c r="AP41" s="33"/>
      <c r="AQ41" s="55"/>
      <c r="AR41" s="55"/>
      <c r="AS41" s="55"/>
      <c r="AT41" s="56"/>
      <c r="AU41" s="33"/>
    </row>
    <row r="42" spans="1:47" x14ac:dyDescent="0.35">
      <c r="A42" s="6">
        <v>2023</v>
      </c>
      <c r="B42" s="85"/>
      <c r="C42" s="53">
        <f t="shared" si="20"/>
        <v>9985294004.625</v>
      </c>
      <c r="D42" s="95">
        <f t="shared" si="13"/>
        <v>10075174004.625</v>
      </c>
      <c r="E42" s="6">
        <v>2023</v>
      </c>
      <c r="F42" s="104">
        <v>511</v>
      </c>
      <c r="G42" s="33">
        <v>75</v>
      </c>
      <c r="H42" s="33">
        <f t="shared" ref="H42:H59" si="23">H41+((L72+M72)*0.46)</f>
        <v>312.8</v>
      </c>
      <c r="I42" s="33">
        <f t="shared" si="16"/>
        <v>898.8</v>
      </c>
      <c r="J42" s="9">
        <f t="shared" si="17"/>
        <v>89880000</v>
      </c>
      <c r="K42" s="4">
        <v>0</v>
      </c>
      <c r="L42" s="10">
        <f>K42*0.35*8766</f>
        <v>0</v>
      </c>
      <c r="M42" s="101">
        <f t="shared" si="22"/>
        <v>0</v>
      </c>
      <c r="O42" s="112">
        <v>7.0000000000000007E-2</v>
      </c>
      <c r="P42" s="95">
        <f t="shared" si="14"/>
        <v>705262180.32375002</v>
      </c>
      <c r="R42" s="149">
        <f t="shared" si="15"/>
        <v>-96316852.555500269</v>
      </c>
      <c r="S42" s="156">
        <f t="shared" si="21"/>
        <v>421158816.41210663</v>
      </c>
      <c r="T42" s="6">
        <v>2023</v>
      </c>
      <c r="AD42" s="55"/>
      <c r="AE42" s="40"/>
      <c r="AF42" s="40"/>
      <c r="AG42" s="40"/>
      <c r="AH42" s="40"/>
      <c r="AI42" s="55"/>
      <c r="AJ42" s="55"/>
      <c r="AK42" s="40"/>
      <c r="AL42" s="33"/>
      <c r="AM42" s="40"/>
      <c r="AN42" s="55"/>
      <c r="AO42" s="55"/>
      <c r="AP42" s="33"/>
      <c r="AQ42" s="55"/>
      <c r="AR42" s="55"/>
      <c r="AS42" s="55"/>
      <c r="AT42" s="56"/>
      <c r="AU42" s="33"/>
    </row>
    <row r="43" spans="1:47" x14ac:dyDescent="0.35">
      <c r="A43" s="6">
        <v>2024</v>
      </c>
      <c r="B43" s="85"/>
      <c r="C43" s="53">
        <f t="shared" si="20"/>
        <v>10035220474.648125</v>
      </c>
      <c r="D43" s="95">
        <f t="shared" si="13"/>
        <v>10192532224.648125</v>
      </c>
      <c r="E43" s="6">
        <v>2024</v>
      </c>
      <c r="F43" s="104">
        <v>492</v>
      </c>
      <c r="G43" s="33">
        <v>75</v>
      </c>
      <c r="H43" s="33">
        <f t="shared" si="23"/>
        <v>469.20000000000005</v>
      </c>
      <c r="I43" s="33">
        <f t="shared" si="16"/>
        <v>1036.2</v>
      </c>
      <c r="J43" s="9">
        <f t="shared" si="17"/>
        <v>103620000</v>
      </c>
      <c r="K43" s="4">
        <v>350</v>
      </c>
      <c r="L43" s="10">
        <f>K43*0.35*8766</f>
        <v>1073834.9999999998</v>
      </c>
      <c r="M43" s="101">
        <f>L43*50</f>
        <v>53691749.999999985</v>
      </c>
      <c r="O43" s="112">
        <v>7.0000000000000007E-2</v>
      </c>
      <c r="P43" s="95">
        <f t="shared" si="14"/>
        <v>713477255.72536874</v>
      </c>
      <c r="R43" s="149">
        <f t="shared" si="15"/>
        <v>-99696098.668815136</v>
      </c>
      <c r="S43" s="156">
        <f>S42+R43</f>
        <v>321462717.7432915</v>
      </c>
      <c r="T43" s="6">
        <v>2024</v>
      </c>
      <c r="AD43" s="55"/>
      <c r="AE43" s="40"/>
      <c r="AF43" s="40"/>
      <c r="AG43" s="40"/>
      <c r="AH43" s="40"/>
      <c r="AI43" s="55"/>
      <c r="AJ43" s="55"/>
      <c r="AK43" s="40"/>
      <c r="AL43" s="33"/>
      <c r="AM43" s="40"/>
      <c r="AN43" s="55"/>
      <c r="AO43" s="55"/>
      <c r="AP43" s="33"/>
      <c r="AQ43" s="55"/>
      <c r="AR43" s="55"/>
      <c r="AS43" s="55"/>
      <c r="AT43" s="56"/>
      <c r="AU43" s="33"/>
    </row>
    <row r="44" spans="1:47" x14ac:dyDescent="0.35">
      <c r="A44" s="6">
        <v>2025</v>
      </c>
      <c r="B44" s="85"/>
      <c r="C44" s="53">
        <f t="shared" si="20"/>
        <v>10085396577.021366</v>
      </c>
      <c r="D44" s="95">
        <f t="shared" si="13"/>
        <v>10310140077.021366</v>
      </c>
      <c r="E44" s="6">
        <v>2025</v>
      </c>
      <c r="F44" s="104">
        <v>473</v>
      </c>
      <c r="G44" s="33">
        <v>75</v>
      </c>
      <c r="H44" s="33">
        <f t="shared" si="23"/>
        <v>625.6</v>
      </c>
      <c r="I44" s="33">
        <f t="shared" si="16"/>
        <v>1173.5999999999999</v>
      </c>
      <c r="J44" s="9">
        <f t="shared" si="17"/>
        <v>117359999.99999999</v>
      </c>
      <c r="K44" s="4">
        <f>K43+350</f>
        <v>700</v>
      </c>
      <c r="L44" s="10">
        <f t="shared" ref="L44:L59" si="24">K44*0.35*8766</f>
        <v>2147669.9999999995</v>
      </c>
      <c r="M44" s="101">
        <f t="shared" si="22"/>
        <v>107383499.99999997</v>
      </c>
      <c r="O44" s="112">
        <v>7.0000000000000007E-2</v>
      </c>
      <c r="P44" s="95">
        <f t="shared" si="14"/>
        <v>721709805.3914957</v>
      </c>
      <c r="R44" s="149">
        <f t="shared" si="15"/>
        <v>-95371561.942728639</v>
      </c>
      <c r="S44" s="156">
        <f t="shared" si="21"/>
        <v>226091155.80056286</v>
      </c>
      <c r="T44" s="6">
        <v>2025</v>
      </c>
      <c r="AD44" s="55"/>
      <c r="AE44" s="40"/>
      <c r="AF44" s="40"/>
      <c r="AG44" s="40"/>
      <c r="AH44" s="40"/>
      <c r="AI44" s="55"/>
      <c r="AJ44" s="55"/>
      <c r="AK44" s="40"/>
      <c r="AL44" s="33"/>
      <c r="AM44" s="40"/>
      <c r="AN44" s="55"/>
      <c r="AO44" s="55"/>
      <c r="AP44" s="33"/>
      <c r="AQ44" s="55"/>
      <c r="AR44" s="55"/>
      <c r="AS44" s="55"/>
      <c r="AT44" s="56"/>
      <c r="AU44" s="33"/>
    </row>
    <row r="45" spans="1:47" x14ac:dyDescent="0.35">
      <c r="A45" s="6">
        <v>2026</v>
      </c>
      <c r="B45" s="85"/>
      <c r="C45" s="53">
        <f t="shared" si="20"/>
        <v>10135823559.906473</v>
      </c>
      <c r="D45" s="95">
        <f t="shared" si="13"/>
        <v>10426098809.906473</v>
      </c>
      <c r="E45" s="6">
        <v>2026</v>
      </c>
      <c r="F45" s="104">
        <v>435</v>
      </c>
      <c r="G45" s="33">
        <v>75</v>
      </c>
      <c r="H45" s="33">
        <f t="shared" si="23"/>
        <v>782</v>
      </c>
      <c r="I45" s="33">
        <f>F45+G45+H45</f>
        <v>1292</v>
      </c>
      <c r="J45" s="9">
        <f t="shared" si="17"/>
        <v>129200000</v>
      </c>
      <c r="K45" s="4">
        <f>K44+350</f>
        <v>1050</v>
      </c>
      <c r="L45" s="10">
        <f t="shared" si="24"/>
        <v>3221505</v>
      </c>
      <c r="M45" s="101">
        <f t="shared" si="22"/>
        <v>161075250</v>
      </c>
      <c r="O45" s="112">
        <v>7.0000000000000007E-2</v>
      </c>
      <c r="P45" s="95">
        <f t="shared" si="14"/>
        <v>729826916.69345319</v>
      </c>
      <c r="R45" s="149">
        <f t="shared" si="15"/>
        <v>4544251.7375576496</v>
      </c>
      <c r="S45" s="156">
        <f t="shared" si="21"/>
        <v>230635407.53812051</v>
      </c>
      <c r="T45" s="6">
        <v>2026</v>
      </c>
      <c r="AD45" s="55"/>
      <c r="AE45" s="40"/>
      <c r="AF45" s="40"/>
      <c r="AG45" s="40"/>
      <c r="AH45" s="40"/>
      <c r="AI45" s="55"/>
      <c r="AJ45" s="55"/>
      <c r="AK45" s="40"/>
      <c r="AL45" s="33"/>
      <c r="AM45" s="40"/>
      <c r="AN45" s="55"/>
      <c r="AO45" s="55"/>
      <c r="AP45" s="33"/>
      <c r="AQ45" s="55"/>
      <c r="AR45" s="55"/>
      <c r="AS45" s="55"/>
      <c r="AT45" s="56"/>
      <c r="AU45" s="33"/>
    </row>
    <row r="46" spans="1:47" x14ac:dyDescent="0.35">
      <c r="A46" s="6">
        <v>2027</v>
      </c>
      <c r="B46" s="85"/>
      <c r="C46" s="53">
        <f t="shared" si="20"/>
        <v>10186502677.706005</v>
      </c>
      <c r="D46" s="95">
        <f t="shared" si="13"/>
        <v>10600471677.706005</v>
      </c>
      <c r="E46" s="6">
        <v>2027</v>
      </c>
      <c r="F46" s="104">
        <v>365</v>
      </c>
      <c r="G46" s="33">
        <v>75</v>
      </c>
      <c r="H46" s="33">
        <f t="shared" si="23"/>
        <v>938.4</v>
      </c>
      <c r="I46" s="33">
        <f t="shared" si="16"/>
        <v>1378.4</v>
      </c>
      <c r="J46" s="9">
        <f t="shared" si="17"/>
        <v>137840000</v>
      </c>
      <c r="K46" s="4">
        <f>K45+750</f>
        <v>1800</v>
      </c>
      <c r="L46" s="10">
        <f t="shared" si="24"/>
        <v>5522580</v>
      </c>
      <c r="M46" s="101">
        <f t="shared" si="22"/>
        <v>276129000</v>
      </c>
      <c r="O46" s="112">
        <v>7.0000000000000007E-2</v>
      </c>
      <c r="P46" s="95">
        <f t="shared" si="14"/>
        <v>742033017.43942046</v>
      </c>
      <c r="R46" s="149">
        <f t="shared" si="15"/>
        <v>139468604.13624549</v>
      </c>
      <c r="S46" s="156">
        <f t="shared" si="21"/>
        <v>370104011.674366</v>
      </c>
      <c r="T46" s="6">
        <v>2027</v>
      </c>
      <c r="AD46" s="55"/>
      <c r="AE46" s="40"/>
      <c r="AF46" s="40"/>
      <c r="AG46" s="40"/>
      <c r="AH46" s="40"/>
      <c r="AI46" s="55"/>
      <c r="AJ46" s="55"/>
      <c r="AK46" s="40"/>
      <c r="AL46" s="33"/>
      <c r="AM46" s="40"/>
      <c r="AN46" s="55"/>
      <c r="AO46" s="55"/>
      <c r="AP46" s="33"/>
      <c r="AQ46" s="55"/>
      <c r="AR46" s="55"/>
      <c r="AS46" s="55"/>
      <c r="AT46" s="56"/>
      <c r="AU46" s="33"/>
    </row>
    <row r="47" spans="1:47" x14ac:dyDescent="0.35">
      <c r="A47" s="6">
        <v>2028</v>
      </c>
      <c r="B47" s="85"/>
      <c r="C47" s="53">
        <f t="shared" si="20"/>
        <v>10237435191.094536</v>
      </c>
      <c r="D47" s="95">
        <f t="shared" si="13"/>
        <v>10772797941.094536</v>
      </c>
      <c r="E47" s="6">
        <v>2028</v>
      </c>
      <c r="F47" s="104">
        <v>272</v>
      </c>
      <c r="G47" s="33">
        <v>75</v>
      </c>
      <c r="H47" s="33">
        <f t="shared" si="23"/>
        <v>1094.8</v>
      </c>
      <c r="I47" s="33">
        <f t="shared" si="16"/>
        <v>1441.8</v>
      </c>
      <c r="J47" s="9">
        <f t="shared" si="17"/>
        <v>144180000</v>
      </c>
      <c r="K47" s="4">
        <f>K46+750</f>
        <v>2550</v>
      </c>
      <c r="L47" s="10">
        <f t="shared" si="24"/>
        <v>7823655</v>
      </c>
      <c r="M47" s="101">
        <f t="shared" si="22"/>
        <v>391182750</v>
      </c>
      <c r="O47" s="112">
        <v>7.0000000000000007E-2</v>
      </c>
      <c r="P47" s="95">
        <f t="shared" si="14"/>
        <v>754095855.87661755</v>
      </c>
      <c r="R47" s="149">
        <f t="shared" si="15"/>
        <v>283622452.39692664</v>
      </c>
      <c r="S47" s="156">
        <f t="shared" si="21"/>
        <v>653726464.07129264</v>
      </c>
      <c r="T47" s="6">
        <v>2028</v>
      </c>
      <c r="AD47" s="55"/>
      <c r="AE47" s="40"/>
      <c r="AF47" s="40"/>
      <c r="AG47" s="40"/>
      <c r="AH47" s="40"/>
      <c r="AI47" s="55"/>
      <c r="AJ47" s="55"/>
      <c r="AK47" s="40"/>
      <c r="AL47" s="33"/>
      <c r="AM47" s="40"/>
      <c r="AN47" s="55"/>
      <c r="AO47" s="55"/>
      <c r="AP47" s="33"/>
      <c r="AQ47" s="55"/>
      <c r="AR47" s="55"/>
      <c r="AS47" s="55"/>
      <c r="AT47" s="56"/>
      <c r="AU47" s="33"/>
    </row>
    <row r="48" spans="1:47" x14ac:dyDescent="0.35">
      <c r="A48" s="6">
        <v>2029</v>
      </c>
      <c r="B48" s="85"/>
      <c r="C48" s="53">
        <f t="shared" si="20"/>
        <v>10288622367.050009</v>
      </c>
      <c r="D48" s="95">
        <f t="shared" si="13"/>
        <v>10942278867.050009</v>
      </c>
      <c r="E48" s="6">
        <v>2029</v>
      </c>
      <c r="F48" s="104">
        <v>148</v>
      </c>
      <c r="G48" s="33">
        <v>75</v>
      </c>
      <c r="H48" s="33">
        <f t="shared" si="23"/>
        <v>1251.2</v>
      </c>
      <c r="I48" s="33">
        <f t="shared" si="16"/>
        <v>1474.2</v>
      </c>
      <c r="J48" s="9">
        <f t="shared" si="17"/>
        <v>147420000</v>
      </c>
      <c r="K48" s="4">
        <f>K47+750</f>
        <v>3300</v>
      </c>
      <c r="L48" s="10">
        <f t="shared" si="24"/>
        <v>10124730</v>
      </c>
      <c r="M48" s="101">
        <f t="shared" si="22"/>
        <v>506236500</v>
      </c>
      <c r="O48" s="112">
        <v>7.0000000000000007E-2</v>
      </c>
      <c r="P48" s="95">
        <f t="shared" si="14"/>
        <v>765959520.69350064</v>
      </c>
      <c r="R48" s="149">
        <f t="shared" si="15"/>
        <v>398974454.96391135</v>
      </c>
      <c r="S48" s="156">
        <f t="shared" si="21"/>
        <v>1052700919.0352039</v>
      </c>
      <c r="T48" s="6">
        <v>2029</v>
      </c>
      <c r="AD48" s="55"/>
      <c r="AE48" s="40"/>
      <c r="AF48" s="40"/>
      <c r="AG48" s="40"/>
      <c r="AH48" s="40"/>
      <c r="AI48" s="55"/>
      <c r="AJ48" s="55"/>
      <c r="AK48" s="40"/>
      <c r="AL48" s="33"/>
      <c r="AM48" s="40"/>
      <c r="AN48" s="55"/>
      <c r="AO48" s="55"/>
      <c r="AP48" s="33"/>
      <c r="AQ48" s="55"/>
      <c r="AR48" s="55"/>
      <c r="AS48" s="55"/>
      <c r="AT48" s="56"/>
      <c r="AU48" s="33"/>
    </row>
    <row r="49" spans="1:47" x14ac:dyDescent="0.35">
      <c r="A49" s="6">
        <v>2030</v>
      </c>
      <c r="B49" s="85"/>
      <c r="C49" s="53">
        <f t="shared" si="20"/>
        <v>10340065478.88526</v>
      </c>
      <c r="D49" s="95">
        <f t="shared" si="13"/>
        <v>11102445478.88526</v>
      </c>
      <c r="E49" s="6">
        <v>2030</v>
      </c>
      <c r="F49" s="104">
        <v>5</v>
      </c>
      <c r="G49" s="33">
        <v>75</v>
      </c>
      <c r="H49" s="33">
        <f t="shared" si="23"/>
        <v>1407.6000000000001</v>
      </c>
      <c r="I49" s="33">
        <f t="shared" si="16"/>
        <v>1487.6000000000001</v>
      </c>
      <c r="J49" s="9">
        <f t="shared" si="17"/>
        <v>148760000</v>
      </c>
      <c r="K49" s="4">
        <f>K48+700</f>
        <v>4000</v>
      </c>
      <c r="L49" s="10">
        <f t="shared" si="24"/>
        <v>12272400</v>
      </c>
      <c r="M49" s="101">
        <f>L49*50</f>
        <v>613620000</v>
      </c>
      <c r="O49" s="112">
        <v>7.0000000000000007E-2</v>
      </c>
      <c r="P49" s="95">
        <f t="shared" si="14"/>
        <v>777171183.52196825</v>
      </c>
      <c r="R49" s="149">
        <f t="shared" si="15"/>
        <v>334003882.60579729</v>
      </c>
      <c r="S49" s="156">
        <f t="shared" si="21"/>
        <v>1386704801.6410012</v>
      </c>
      <c r="T49" s="6">
        <v>2030</v>
      </c>
      <c r="AD49" s="55"/>
      <c r="AE49" s="40"/>
      <c r="AF49" s="40"/>
      <c r="AG49" s="40"/>
      <c r="AH49" s="40"/>
      <c r="AI49" s="55"/>
      <c r="AJ49" s="55"/>
      <c r="AK49" s="40"/>
      <c r="AL49" s="33"/>
      <c r="AM49" s="40"/>
      <c r="AN49" s="55"/>
      <c r="AO49" s="55"/>
      <c r="AP49" s="33"/>
      <c r="AQ49" s="55"/>
      <c r="AR49" s="55"/>
      <c r="AS49" s="55"/>
      <c r="AT49" s="56"/>
      <c r="AU49" s="33"/>
    </row>
    <row r="50" spans="1:47" x14ac:dyDescent="0.35">
      <c r="A50" s="6">
        <v>2031</v>
      </c>
      <c r="B50" s="85"/>
      <c r="C50" s="53">
        <f t="shared" si="20"/>
        <v>10391765806.279686</v>
      </c>
      <c r="D50" s="135">
        <f t="shared" si="13"/>
        <v>11276669306.279686</v>
      </c>
      <c r="E50" s="6">
        <v>2031</v>
      </c>
      <c r="F50" s="104">
        <v>0</v>
      </c>
      <c r="G50" s="33">
        <v>75</v>
      </c>
      <c r="H50" s="33">
        <f t="shared" si="23"/>
        <v>1564.0000000000002</v>
      </c>
      <c r="I50" s="33">
        <f t="shared" si="16"/>
        <v>1639.0000000000002</v>
      </c>
      <c r="J50" s="9">
        <f t="shared" si="17"/>
        <v>163900000.00000003</v>
      </c>
      <c r="K50" s="4">
        <f t="shared" ref="K50:K54" si="25">K49+700</f>
        <v>4700</v>
      </c>
      <c r="L50" s="10">
        <f t="shared" si="24"/>
        <v>14420070</v>
      </c>
      <c r="M50" s="101">
        <f t="shared" ref="M50:M59" si="26">L50*50</f>
        <v>721003500</v>
      </c>
      <c r="O50" s="112">
        <v>7.0000000000000007E-2</v>
      </c>
      <c r="P50" s="95">
        <f t="shared" si="14"/>
        <v>789366851.43957806</v>
      </c>
      <c r="R50" s="149">
        <f t="shared" si="15"/>
        <v>409647050.44882619</v>
      </c>
      <c r="S50" s="156">
        <f t="shared" si="21"/>
        <v>1796351852.0898275</v>
      </c>
      <c r="T50" s="6">
        <v>2031</v>
      </c>
      <c r="AD50" s="55"/>
      <c r="AE50" s="40"/>
      <c r="AF50" s="40"/>
      <c r="AG50" s="40"/>
      <c r="AH50" s="40"/>
      <c r="AI50" s="55"/>
      <c r="AJ50" s="55"/>
      <c r="AK50" s="40"/>
      <c r="AL50" s="33"/>
      <c r="AM50" s="40"/>
      <c r="AN50" s="55"/>
      <c r="AO50" s="55"/>
      <c r="AP50" s="33"/>
      <c r="AQ50" s="55"/>
      <c r="AR50" s="55"/>
      <c r="AS50" s="55"/>
      <c r="AT50" s="56"/>
      <c r="AU50" s="33"/>
    </row>
    <row r="51" spans="1:47" x14ac:dyDescent="0.35">
      <c r="A51" s="6">
        <v>2032</v>
      </c>
      <c r="B51" s="85"/>
      <c r="C51" s="53">
        <f t="shared" si="20"/>
        <v>10443724635.311085</v>
      </c>
      <c r="D51" s="135">
        <f t="shared" si="13"/>
        <v>11451651635.311085</v>
      </c>
      <c r="E51" s="6">
        <v>2032</v>
      </c>
      <c r="F51" s="104">
        <v>0</v>
      </c>
      <c r="G51" s="33">
        <v>75</v>
      </c>
      <c r="H51" s="33">
        <f t="shared" si="23"/>
        <v>1720.4000000000003</v>
      </c>
      <c r="I51" s="33">
        <f t="shared" si="16"/>
        <v>1795.4000000000003</v>
      </c>
      <c r="J51" s="9">
        <f t="shared" si="17"/>
        <v>179540000.00000003</v>
      </c>
      <c r="K51" s="4">
        <f t="shared" si="25"/>
        <v>5400</v>
      </c>
      <c r="L51" s="10">
        <f t="shared" si="24"/>
        <v>16567739.999999998</v>
      </c>
      <c r="M51" s="101">
        <f t="shared" si="26"/>
        <v>828386999.99999988</v>
      </c>
      <c r="O51" s="112">
        <v>7.0000000000000007E-2</v>
      </c>
      <c r="P51" s="95">
        <f t="shared" si="14"/>
        <v>801615614.47177601</v>
      </c>
      <c r="R51" s="149">
        <f t="shared" si="15"/>
        <v>480833876.8560704</v>
      </c>
      <c r="S51" s="156">
        <f t="shared" si="21"/>
        <v>2277185728.9458981</v>
      </c>
      <c r="T51" s="6">
        <v>2032</v>
      </c>
      <c r="AD51" s="55"/>
      <c r="AE51" s="40"/>
      <c r="AF51" s="40"/>
      <c r="AG51" s="40"/>
      <c r="AH51" s="40"/>
      <c r="AI51" s="55"/>
      <c r="AJ51" s="55"/>
      <c r="AK51" s="40"/>
      <c r="AL51" s="33"/>
      <c r="AM51" s="40"/>
      <c r="AN51" s="55"/>
      <c r="AO51" s="55"/>
      <c r="AP51" s="33"/>
      <c r="AQ51" s="55"/>
      <c r="AR51" s="55"/>
      <c r="AS51" s="55"/>
      <c r="AT51" s="56"/>
      <c r="AU51" s="33"/>
    </row>
    <row r="52" spans="1:47" x14ac:dyDescent="0.35">
      <c r="A52" s="6">
        <v>2033</v>
      </c>
      <c r="B52" s="85"/>
      <c r="C52" s="53">
        <f t="shared" si="20"/>
        <v>10495943258.48764</v>
      </c>
      <c r="D52" s="135">
        <f t="shared" si="13"/>
        <v>11626893758.48764</v>
      </c>
      <c r="E52" s="6">
        <v>2033</v>
      </c>
      <c r="F52" s="104">
        <v>0</v>
      </c>
      <c r="G52" s="33">
        <v>75</v>
      </c>
      <c r="H52" s="33">
        <f t="shared" si="23"/>
        <v>1876.8000000000004</v>
      </c>
      <c r="I52" s="33">
        <f t="shared" si="16"/>
        <v>1951.8000000000004</v>
      </c>
      <c r="J52" s="9">
        <f t="shared" si="17"/>
        <v>195180000.00000003</v>
      </c>
      <c r="K52" s="4">
        <f t="shared" si="25"/>
        <v>6100</v>
      </c>
      <c r="L52" s="10">
        <f t="shared" si="24"/>
        <v>18715410</v>
      </c>
      <c r="M52" s="101">
        <f t="shared" si="26"/>
        <v>935770500</v>
      </c>
      <c r="O52" s="112">
        <v>7.0000000000000007E-2</v>
      </c>
      <c r="P52" s="95">
        <f t="shared" si="14"/>
        <v>813882563.09413493</v>
      </c>
      <c r="R52" s="149">
        <f t="shared" si="15"/>
        <v>547529405.12035084</v>
      </c>
      <c r="S52" s="156">
        <f t="shared" si="21"/>
        <v>2824715134.0662489</v>
      </c>
      <c r="T52" s="6">
        <v>2033</v>
      </c>
      <c r="AD52" s="55"/>
      <c r="AE52" s="40"/>
      <c r="AF52" s="40"/>
      <c r="AG52" s="40"/>
      <c r="AH52" s="40"/>
      <c r="AI52" s="55"/>
      <c r="AJ52" s="55"/>
      <c r="AK52" s="40"/>
      <c r="AL52" s="33"/>
      <c r="AM52" s="40"/>
      <c r="AN52" s="55"/>
      <c r="AO52" s="55"/>
      <c r="AP52" s="33"/>
      <c r="AQ52" s="55"/>
      <c r="AR52" s="55"/>
      <c r="AS52" s="55"/>
      <c r="AT52" s="56"/>
      <c r="AU52" s="33"/>
    </row>
    <row r="53" spans="1:47" x14ac:dyDescent="0.35">
      <c r="A53" s="6">
        <v>2034</v>
      </c>
      <c r="B53" s="85"/>
      <c r="C53" s="53">
        <f t="shared" si="20"/>
        <v>10548422974.780079</v>
      </c>
      <c r="D53" s="135">
        <f t="shared" si="13"/>
        <v>11802296974.780079</v>
      </c>
      <c r="E53" s="6">
        <v>2034</v>
      </c>
      <c r="F53" s="104">
        <v>0</v>
      </c>
      <c r="G53" s="33">
        <v>74</v>
      </c>
      <c r="H53" s="33">
        <f t="shared" si="23"/>
        <v>2033.2000000000005</v>
      </c>
      <c r="I53" s="33">
        <f t="shared" si="16"/>
        <v>2107.2000000000007</v>
      </c>
      <c r="J53" s="9">
        <f t="shared" si="17"/>
        <v>210720000.00000006</v>
      </c>
      <c r="K53" s="4">
        <f t="shared" si="25"/>
        <v>6800</v>
      </c>
      <c r="L53" s="10">
        <f t="shared" si="24"/>
        <v>20863080</v>
      </c>
      <c r="M53" s="101">
        <f t="shared" si="26"/>
        <v>1043154000</v>
      </c>
      <c r="O53" s="112">
        <v>7.0000000000000007E-2</v>
      </c>
      <c r="P53" s="95">
        <f t="shared" si="14"/>
        <v>826160788.23460555</v>
      </c>
      <c r="R53" s="149">
        <f t="shared" si="15"/>
        <v>596037018.75095248</v>
      </c>
      <c r="S53" s="156">
        <f t="shared" si="21"/>
        <v>3420752152.8172016</v>
      </c>
      <c r="T53" s="6">
        <v>2034</v>
      </c>
      <c r="AD53" s="55"/>
      <c r="AE53" s="40"/>
      <c r="AF53" s="40"/>
      <c r="AG53" s="40"/>
      <c r="AH53" s="40"/>
      <c r="AI53" s="55"/>
      <c r="AJ53" s="55"/>
      <c r="AK53" s="40"/>
      <c r="AL53" s="33"/>
      <c r="AM53" s="40"/>
      <c r="AN53" s="55"/>
      <c r="AO53" s="55"/>
      <c r="AP53" s="33"/>
      <c r="AQ53" s="55"/>
      <c r="AR53" s="55"/>
      <c r="AS53" s="55"/>
      <c r="AT53" s="56"/>
      <c r="AU53" s="33"/>
    </row>
    <row r="54" spans="1:47" x14ac:dyDescent="0.35">
      <c r="A54" s="6">
        <v>2035</v>
      </c>
      <c r="B54" s="85"/>
      <c r="C54" s="53">
        <f t="shared" si="20"/>
        <v>10601165089.653978</v>
      </c>
      <c r="D54" s="135">
        <f t="shared" si="13"/>
        <v>11977162589.653978</v>
      </c>
      <c r="E54" s="6">
        <v>2035</v>
      </c>
      <c r="F54" s="104">
        <v>0</v>
      </c>
      <c r="G54" s="33">
        <v>65</v>
      </c>
      <c r="H54" s="33">
        <f t="shared" si="23"/>
        <v>2189.6000000000004</v>
      </c>
      <c r="I54" s="33">
        <f t="shared" si="16"/>
        <v>2254.6000000000004</v>
      </c>
      <c r="J54" s="9">
        <f t="shared" si="17"/>
        <v>225460000.00000003</v>
      </c>
      <c r="K54" s="4">
        <f t="shared" si="25"/>
        <v>7500</v>
      </c>
      <c r="L54" s="10">
        <f t="shared" si="24"/>
        <v>23010750</v>
      </c>
      <c r="M54" s="101">
        <f t="shared" si="26"/>
        <v>1150537500</v>
      </c>
      <c r="O54" s="112">
        <v>7.0000000000000007E-2</v>
      </c>
      <c r="P54" s="95">
        <f t="shared" si="14"/>
        <v>838401381.27577853</v>
      </c>
      <c r="R54" s="149">
        <f t="shared" si="15"/>
        <v>638397499.47470713</v>
      </c>
      <c r="S54" s="156">
        <f t="shared" si="21"/>
        <v>4059149652.2919087</v>
      </c>
      <c r="T54" s="6">
        <v>2035</v>
      </c>
      <c r="AD54" s="55"/>
      <c r="AE54" s="40"/>
      <c r="AF54" s="40"/>
      <c r="AG54" s="40"/>
      <c r="AH54" s="40"/>
      <c r="AI54" s="55"/>
      <c r="AJ54" s="55"/>
      <c r="AK54" s="40"/>
      <c r="AL54" s="33"/>
      <c r="AM54" s="40"/>
      <c r="AN54" s="55"/>
      <c r="AO54" s="55"/>
      <c r="AP54" s="33"/>
      <c r="AQ54" s="55"/>
      <c r="AR54" s="55"/>
      <c r="AS54" s="55"/>
      <c r="AT54" s="56"/>
      <c r="AU54" s="33"/>
    </row>
    <row r="55" spans="1:47" x14ac:dyDescent="0.35">
      <c r="A55" s="6">
        <v>2036</v>
      </c>
      <c r="B55" s="85"/>
      <c r="C55" s="53">
        <f t="shared" si="20"/>
        <v>10654170915.102249</v>
      </c>
      <c r="D55" s="135">
        <f t="shared" si="13"/>
        <v>12039308415.102249</v>
      </c>
      <c r="E55" s="6">
        <v>2036</v>
      </c>
      <c r="F55" s="104">
        <v>0</v>
      </c>
      <c r="G55" s="33">
        <v>0</v>
      </c>
      <c r="H55" s="33">
        <f t="shared" si="23"/>
        <v>2346.0000000000005</v>
      </c>
      <c r="I55" s="33">
        <f t="shared" si="16"/>
        <v>2346.0000000000005</v>
      </c>
      <c r="J55" s="9">
        <f t="shared" si="17"/>
        <v>234600000.00000006</v>
      </c>
      <c r="K55" s="4">
        <f>K54</f>
        <v>7500</v>
      </c>
      <c r="L55" s="10">
        <f t="shared" si="24"/>
        <v>23010750</v>
      </c>
      <c r="M55" s="101">
        <f t="shared" si="26"/>
        <v>1150537500</v>
      </c>
      <c r="O55" s="112">
        <v>7.0000000000000007E-2</v>
      </c>
      <c r="P55" s="95">
        <f t="shared" si="14"/>
        <v>842751589.05715752</v>
      </c>
      <c r="R55" s="149">
        <f t="shared" si="15"/>
        <v>659128508.23708081</v>
      </c>
      <c r="S55" s="156">
        <f t="shared" si="21"/>
        <v>4718278160.5289898</v>
      </c>
      <c r="T55" s="6">
        <v>2036</v>
      </c>
      <c r="AD55" s="55"/>
      <c r="AE55" s="40"/>
      <c r="AF55" s="40"/>
      <c r="AG55" s="40"/>
      <c r="AH55" s="40"/>
      <c r="AI55" s="55"/>
      <c r="AJ55" s="55"/>
      <c r="AK55" s="40"/>
      <c r="AL55" s="33"/>
      <c r="AM55" s="40"/>
      <c r="AN55" s="55"/>
      <c r="AO55" s="55"/>
      <c r="AP55" s="33"/>
      <c r="AQ55" s="55"/>
      <c r="AR55" s="55"/>
      <c r="AS55" s="55"/>
      <c r="AT55" s="56"/>
      <c r="AU55" s="33"/>
    </row>
    <row r="56" spans="1:47" x14ac:dyDescent="0.35">
      <c r="A56" s="6">
        <v>2037</v>
      </c>
      <c r="B56" s="85"/>
      <c r="C56" s="53">
        <f t="shared" si="20"/>
        <v>10707441769.677761</v>
      </c>
      <c r="D56" s="135">
        <f t="shared" si="13"/>
        <v>12108219269.677761</v>
      </c>
      <c r="E56" s="6">
        <v>2037</v>
      </c>
      <c r="F56" s="104">
        <v>0</v>
      </c>
      <c r="G56" s="33">
        <v>0</v>
      </c>
      <c r="H56" s="33">
        <f t="shared" si="23"/>
        <v>2502.4000000000005</v>
      </c>
      <c r="I56" s="33">
        <f t="shared" si="16"/>
        <v>2502.4000000000005</v>
      </c>
      <c r="J56" s="9">
        <f t="shared" si="17"/>
        <v>250240000.00000006</v>
      </c>
      <c r="K56" s="4">
        <f t="shared" ref="K56:K59" si="27">K55</f>
        <v>7500</v>
      </c>
      <c r="L56" s="10">
        <f t="shared" si="24"/>
        <v>23010750</v>
      </c>
      <c r="M56" s="101">
        <f t="shared" si="26"/>
        <v>1150537500</v>
      </c>
      <c r="O56" s="112">
        <v>7.0000000000000007E-2</v>
      </c>
      <c r="P56" s="95">
        <f t="shared" si="14"/>
        <v>847575348.87744331</v>
      </c>
      <c r="R56" s="149">
        <f t="shared" si="15"/>
        <v>709038647.20326614</v>
      </c>
      <c r="S56" s="156">
        <f t="shared" si="21"/>
        <v>5427316807.7322559</v>
      </c>
      <c r="T56" s="6">
        <v>2037</v>
      </c>
      <c r="AD56" s="55"/>
      <c r="AE56" s="40"/>
      <c r="AF56" s="40"/>
      <c r="AG56" s="40"/>
      <c r="AH56" s="40"/>
      <c r="AI56" s="55"/>
      <c r="AJ56" s="55"/>
      <c r="AK56" s="40"/>
      <c r="AL56" s="33"/>
      <c r="AM56" s="40"/>
      <c r="AN56" s="55"/>
      <c r="AO56" s="55"/>
      <c r="AP56" s="33"/>
      <c r="AQ56" s="55"/>
      <c r="AR56" s="55"/>
      <c r="AS56" s="55"/>
      <c r="AT56" s="56"/>
      <c r="AU56" s="33"/>
    </row>
    <row r="57" spans="1:47" x14ac:dyDescent="0.35">
      <c r="A57" s="6">
        <v>2038</v>
      </c>
      <c r="B57" s="85"/>
      <c r="C57" s="53">
        <f t="shared" si="20"/>
        <v>10760978978.52615</v>
      </c>
      <c r="D57" s="135">
        <f t="shared" si="13"/>
        <v>12177396478.52615</v>
      </c>
      <c r="E57" s="6">
        <v>2038</v>
      </c>
      <c r="F57" s="104">
        <v>0</v>
      </c>
      <c r="G57" s="33">
        <v>0</v>
      </c>
      <c r="H57" s="33">
        <f t="shared" si="23"/>
        <v>2658.8000000000006</v>
      </c>
      <c r="I57" s="33">
        <f t="shared" si="16"/>
        <v>2658.8000000000006</v>
      </c>
      <c r="J57" s="9">
        <f t="shared" si="17"/>
        <v>265880000.00000006</v>
      </c>
      <c r="K57" s="4">
        <f t="shared" si="27"/>
        <v>7500</v>
      </c>
      <c r="L57" s="10">
        <f t="shared" si="24"/>
        <v>23010750</v>
      </c>
      <c r="M57" s="101">
        <f t="shared" si="26"/>
        <v>1150537500</v>
      </c>
      <c r="O57" s="112">
        <v>7.0000000000000007E-2</v>
      </c>
      <c r="P57" s="95">
        <f t="shared" si="14"/>
        <v>852417753.49683058</v>
      </c>
      <c r="R57" s="149">
        <f t="shared" si="15"/>
        <v>757014268.75928259</v>
      </c>
      <c r="S57" s="156">
        <f t="shared" si="21"/>
        <v>6184331076.491539</v>
      </c>
      <c r="T57" s="6">
        <v>2038</v>
      </c>
      <c r="AD57" s="55"/>
      <c r="AE57" s="40"/>
      <c r="AF57" s="40"/>
      <c r="AG57" s="40"/>
      <c r="AH57" s="40"/>
      <c r="AI57" s="55"/>
      <c r="AJ57" s="55"/>
      <c r="AK57" s="40"/>
      <c r="AL57" s="33"/>
      <c r="AM57" s="40"/>
      <c r="AN57" s="55"/>
      <c r="AO57" s="55"/>
      <c r="AP57" s="33"/>
      <c r="AQ57" s="55"/>
      <c r="AR57" s="55"/>
      <c r="AS57" s="55"/>
      <c r="AT57" s="56"/>
      <c r="AU57" s="33"/>
    </row>
    <row r="58" spans="1:47" x14ac:dyDescent="0.35">
      <c r="A58" s="6">
        <v>2039</v>
      </c>
      <c r="B58" s="5"/>
      <c r="C58" s="92">
        <f t="shared" si="20"/>
        <v>10814783873.418781</v>
      </c>
      <c r="D58" s="135">
        <f t="shared" si="13"/>
        <v>12246841373.418781</v>
      </c>
      <c r="E58" s="6">
        <v>2039</v>
      </c>
      <c r="F58" s="104">
        <v>0</v>
      </c>
      <c r="G58" s="33">
        <v>0</v>
      </c>
      <c r="H58" s="33">
        <f t="shared" si="23"/>
        <v>2815.2000000000007</v>
      </c>
      <c r="I58" s="33">
        <f t="shared" si="16"/>
        <v>2815.2000000000007</v>
      </c>
      <c r="J58" s="9">
        <f t="shared" si="17"/>
        <v>281520000.00000006</v>
      </c>
      <c r="K58" s="4">
        <f t="shared" si="27"/>
        <v>7500</v>
      </c>
      <c r="L58" s="10">
        <f t="shared" si="24"/>
        <v>23010750</v>
      </c>
      <c r="M58" s="101">
        <f t="shared" si="26"/>
        <v>1150537500</v>
      </c>
      <c r="O58" s="112">
        <v>7.0000000000000007E-2</v>
      </c>
      <c r="P58" s="95">
        <f t="shared" si="14"/>
        <v>857278896.13931477</v>
      </c>
      <c r="R58" s="149">
        <f t="shared" si="15"/>
        <v>773883765.51307905</v>
      </c>
      <c r="S58" s="156">
        <f t="shared" si="21"/>
        <v>6958214842.0046177</v>
      </c>
      <c r="T58" s="6">
        <v>2039</v>
      </c>
      <c r="AD58" s="55"/>
      <c r="AE58" s="40"/>
      <c r="AF58" s="40"/>
      <c r="AG58" s="40"/>
      <c r="AH58" s="40"/>
      <c r="AI58" s="55"/>
      <c r="AJ58" s="55"/>
      <c r="AK58" s="40"/>
      <c r="AL58" s="33"/>
      <c r="AM58" s="40"/>
      <c r="AN58" s="55"/>
      <c r="AO58" s="55"/>
      <c r="AP58" s="33"/>
      <c r="AQ58" s="55"/>
      <c r="AR58" s="55"/>
      <c r="AS58" s="55"/>
      <c r="AT58" s="56"/>
      <c r="AU58" s="33"/>
    </row>
    <row r="59" spans="1:47" ht="15" thickBot="1" x14ac:dyDescent="0.4">
      <c r="A59" s="6">
        <v>2040</v>
      </c>
      <c r="B59" s="69"/>
      <c r="C59" s="94">
        <f t="shared" si="20"/>
        <v>10868857792.785875</v>
      </c>
      <c r="D59" s="99">
        <f t="shared" si="13"/>
        <v>12316555292.785875</v>
      </c>
      <c r="E59" s="6">
        <v>2040</v>
      </c>
      <c r="F59" s="105">
        <v>0</v>
      </c>
      <c r="G59" s="102">
        <v>0</v>
      </c>
      <c r="H59" s="102">
        <f t="shared" si="23"/>
        <v>2971.6000000000008</v>
      </c>
      <c r="I59" s="102">
        <f t="shared" si="16"/>
        <v>2971.6000000000008</v>
      </c>
      <c r="J59" s="70">
        <f t="shared" si="17"/>
        <v>297160000.00000006</v>
      </c>
      <c r="K59" s="63">
        <f t="shared" si="27"/>
        <v>7500</v>
      </c>
      <c r="L59" s="65">
        <f t="shared" si="24"/>
        <v>23010750</v>
      </c>
      <c r="M59" s="103">
        <f t="shared" si="26"/>
        <v>1150537500</v>
      </c>
      <c r="O59" s="113">
        <v>7.0000000000000007E-2</v>
      </c>
      <c r="P59" s="99">
        <f t="shared" si="14"/>
        <v>862158870.49501133</v>
      </c>
      <c r="R59" s="150">
        <f t="shared" si="15"/>
        <v>776789782.2956444</v>
      </c>
      <c r="S59" s="157">
        <f>S58+R59</f>
        <v>7735004624.3002625</v>
      </c>
      <c r="T59" s="6">
        <v>2040</v>
      </c>
      <c r="AD59" s="33"/>
      <c r="AE59" s="55"/>
      <c r="AF59" s="55"/>
      <c r="AG59" s="33"/>
      <c r="AH59" s="40"/>
      <c r="AI59" s="33"/>
      <c r="AJ59" s="55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</row>
    <row r="60" spans="1:47" x14ac:dyDescent="0.35">
      <c r="A60" s="7"/>
      <c r="P60" s="37"/>
      <c r="S60" s="7"/>
      <c r="T60" s="7"/>
      <c r="AF60" s="48"/>
      <c r="AH60" s="48"/>
      <c r="AJ60" s="54"/>
    </row>
    <row r="61" spans="1:47" x14ac:dyDescent="0.35">
      <c r="A61" s="7"/>
      <c r="F61" t="s">
        <v>46</v>
      </c>
      <c r="R61" s="37"/>
      <c r="S61" s="7"/>
      <c r="T61" s="7"/>
    </row>
    <row r="62" spans="1:47" x14ac:dyDescent="0.35">
      <c r="F62" t="s">
        <v>45</v>
      </c>
      <c r="R62" s="37"/>
      <c r="S62" s="7"/>
      <c r="T62" s="7"/>
    </row>
    <row r="63" spans="1:47" x14ac:dyDescent="0.35">
      <c r="F63" t="s">
        <v>70</v>
      </c>
      <c r="R63" s="37"/>
      <c r="S63" s="7"/>
      <c r="T63" s="7"/>
    </row>
    <row r="64" spans="1:47" x14ac:dyDescent="0.35">
      <c r="F64" t="s">
        <v>69</v>
      </c>
      <c r="O64" t="s">
        <v>49</v>
      </c>
      <c r="P64" s="170">
        <v>1154</v>
      </c>
      <c r="S64" s="22"/>
      <c r="T64" s="34" t="s">
        <v>34</v>
      </c>
      <c r="U64" s="171">
        <v>13</v>
      </c>
    </row>
    <row r="65" spans="1:48" s="22" customFormat="1" ht="15" thickBot="1" x14ac:dyDescent="0.4">
      <c r="G65"/>
      <c r="H65"/>
      <c r="I65"/>
      <c r="J65"/>
      <c r="K65"/>
      <c r="L65"/>
      <c r="M65"/>
      <c r="N65"/>
      <c r="O65"/>
      <c r="P65"/>
      <c r="Q65"/>
      <c r="R65" s="37"/>
      <c r="S65" s="7"/>
      <c r="T65" s="7"/>
      <c r="U65"/>
      <c r="V65"/>
      <c r="W65"/>
      <c r="X65"/>
    </row>
    <row r="66" spans="1:48" ht="15" thickBot="1" x14ac:dyDescent="0.4">
      <c r="B66" s="221" t="s">
        <v>74</v>
      </c>
      <c r="C66" s="222"/>
      <c r="D66" s="222"/>
      <c r="E66" s="222"/>
      <c r="F66" s="222"/>
      <c r="G66" s="223"/>
      <c r="I66" s="221" t="s">
        <v>75</v>
      </c>
      <c r="J66" s="222"/>
      <c r="K66" s="222"/>
      <c r="L66" s="222"/>
      <c r="M66" s="223"/>
      <c r="O66" s="221" t="s">
        <v>76</v>
      </c>
      <c r="P66" s="222"/>
      <c r="Q66" s="222"/>
      <c r="R66" s="222"/>
      <c r="S66" s="222"/>
      <c r="T66" s="222"/>
      <c r="U66" s="222"/>
      <c r="V66" s="22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ht="58" x14ac:dyDescent="0.35">
      <c r="A67" s="129" t="s">
        <v>1</v>
      </c>
      <c r="B67" s="161" t="s">
        <v>88</v>
      </c>
      <c r="C67" s="38" t="s">
        <v>23</v>
      </c>
      <c r="D67" s="38" t="s">
        <v>21</v>
      </c>
      <c r="E67" s="38" t="s">
        <v>22</v>
      </c>
      <c r="F67" s="38" t="s">
        <v>24</v>
      </c>
      <c r="G67" s="116" t="s">
        <v>25</v>
      </c>
      <c r="H67" s="130" t="s">
        <v>1</v>
      </c>
      <c r="I67" s="125" t="s">
        <v>50</v>
      </c>
      <c r="J67" s="126" t="s">
        <v>51</v>
      </c>
      <c r="K67" s="126" t="s">
        <v>52</v>
      </c>
      <c r="L67" s="126" t="s">
        <v>53</v>
      </c>
      <c r="M67" s="174" t="s">
        <v>54</v>
      </c>
      <c r="N67" s="130" t="s">
        <v>1</v>
      </c>
      <c r="O67" s="122" t="s">
        <v>78</v>
      </c>
      <c r="P67" s="38" t="s">
        <v>79</v>
      </c>
      <c r="Q67" s="39" t="s">
        <v>47</v>
      </c>
      <c r="R67" s="39" t="s">
        <v>48</v>
      </c>
      <c r="S67" s="39" t="s">
        <v>35</v>
      </c>
      <c r="T67" s="179" t="s">
        <v>55</v>
      </c>
      <c r="U67" s="49" t="s">
        <v>57</v>
      </c>
      <c r="V67" s="169" t="s">
        <v>56</v>
      </c>
      <c r="AE67" s="13"/>
      <c r="AF67" s="13"/>
      <c r="AG67" s="12"/>
    </row>
    <row r="68" spans="1:48" x14ac:dyDescent="0.35">
      <c r="A68">
        <v>2019</v>
      </c>
      <c r="B68" s="163"/>
      <c r="C68" s="7">
        <v>0</v>
      </c>
      <c r="D68" s="7">
        <v>0</v>
      </c>
      <c r="E68" s="7">
        <v>0</v>
      </c>
      <c r="F68" s="7">
        <v>0</v>
      </c>
      <c r="G68" s="16">
        <v>0</v>
      </c>
      <c r="H68" s="41">
        <v>2019</v>
      </c>
      <c r="I68" s="4">
        <v>0</v>
      </c>
      <c r="J68" s="7">
        <v>0</v>
      </c>
      <c r="K68" s="7">
        <v>0</v>
      </c>
      <c r="L68" s="7">
        <v>0</v>
      </c>
      <c r="M68" s="16">
        <v>0</v>
      </c>
      <c r="N68" s="41">
        <v>2019</v>
      </c>
      <c r="O68" s="5">
        <f>SUM(I68:M68)</f>
        <v>0</v>
      </c>
      <c r="P68" s="7"/>
      <c r="Q68" s="11"/>
      <c r="R68" s="33"/>
      <c r="S68" s="33"/>
      <c r="T68" s="164"/>
      <c r="U68" s="127">
        <f t="shared" ref="U68:U89" si="28">R38-T68</f>
        <v>308481289.89614952</v>
      </c>
      <c r="V68" s="166">
        <f>U68</f>
        <v>308481289.89614952</v>
      </c>
    </row>
    <row r="69" spans="1:48" x14ac:dyDescent="0.35">
      <c r="A69">
        <v>2020</v>
      </c>
      <c r="B69" s="84"/>
      <c r="C69" s="7">
        <v>0</v>
      </c>
      <c r="D69" s="7">
        <v>0</v>
      </c>
      <c r="E69" s="7">
        <v>0</v>
      </c>
      <c r="F69" s="7">
        <v>0</v>
      </c>
      <c r="G69" s="16">
        <v>0</v>
      </c>
      <c r="H69" s="41">
        <v>2020</v>
      </c>
      <c r="I69" s="4">
        <v>0</v>
      </c>
      <c r="J69" s="7">
        <v>0</v>
      </c>
      <c r="K69" s="7">
        <v>0</v>
      </c>
      <c r="L69" s="7">
        <v>0</v>
      </c>
      <c r="M69" s="16">
        <v>0</v>
      </c>
      <c r="N69" s="41">
        <v>2020</v>
      </c>
      <c r="O69" s="5">
        <f t="shared" ref="O69:O89" si="29">O68+SUM(I69:M69)</f>
        <v>0</v>
      </c>
      <c r="P69" s="17">
        <f t="shared" ref="P69:P89" si="30">P68+(I68*$P$64*C68)+(J68*$P$64*D68)+(K68*$P$64*E68)+(L68*$P$64*F68)+(M68*$P$64*G68)</f>
        <v>0</v>
      </c>
      <c r="Q69" s="11">
        <f t="shared" ref="Q69:Q89" si="31">$P$7*O68*O11</f>
        <v>0</v>
      </c>
      <c r="R69" s="56">
        <f t="shared" ref="R69:R89" si="32">(0.00083*(O68*0.42)*O11)</f>
        <v>0</v>
      </c>
      <c r="S69" s="9">
        <f>O68*$P$64*12</f>
        <v>0</v>
      </c>
      <c r="T69" s="53">
        <f t="shared" ref="T69:T89" si="33">P69-(Q69+R69+S69)</f>
        <v>0</v>
      </c>
      <c r="U69" s="127">
        <f t="shared" si="28"/>
        <v>169772203.75457656</v>
      </c>
      <c r="V69" s="167">
        <f>U69+V68</f>
        <v>478253493.65072608</v>
      </c>
      <c r="AE69" s="42"/>
      <c r="AF69" s="42"/>
      <c r="AG69" s="43"/>
    </row>
    <row r="70" spans="1:48" x14ac:dyDescent="0.35">
      <c r="A70">
        <v>2021</v>
      </c>
      <c r="B70" s="84"/>
      <c r="C70" s="7">
        <v>0</v>
      </c>
      <c r="D70" s="7">
        <v>0</v>
      </c>
      <c r="E70" s="7">
        <v>0</v>
      </c>
      <c r="F70" s="7">
        <v>0</v>
      </c>
      <c r="G70" s="16">
        <v>0</v>
      </c>
      <c r="H70" s="45">
        <v>2021</v>
      </c>
      <c r="I70" s="123">
        <v>0</v>
      </c>
      <c r="J70" s="57">
        <v>0</v>
      </c>
      <c r="K70" s="57">
        <v>0</v>
      </c>
      <c r="L70" s="57">
        <v>0</v>
      </c>
      <c r="M70" s="124">
        <v>0</v>
      </c>
      <c r="N70" s="45">
        <v>2021</v>
      </c>
      <c r="O70" s="5">
        <f t="shared" si="29"/>
        <v>0</v>
      </c>
      <c r="P70" s="17">
        <f t="shared" si="30"/>
        <v>0</v>
      </c>
      <c r="Q70" s="11">
        <f t="shared" si="31"/>
        <v>0</v>
      </c>
      <c r="R70" s="56">
        <f t="shared" si="32"/>
        <v>0</v>
      </c>
      <c r="S70" s="9">
        <f>O69*$P$64*$U$64</f>
        <v>0</v>
      </c>
      <c r="T70" s="53">
        <f t="shared" si="33"/>
        <v>0</v>
      </c>
      <c r="U70" s="127">
        <f t="shared" si="28"/>
        <v>139152492.94226563</v>
      </c>
      <c r="V70" s="167">
        <f t="shared" ref="V70:V89" si="34">U70+V69</f>
        <v>617405986.59299171</v>
      </c>
      <c r="X70" s="41"/>
      <c r="AE70" s="42"/>
      <c r="AF70" s="42"/>
      <c r="AG70" s="43"/>
    </row>
    <row r="71" spans="1:48" x14ac:dyDescent="0.35">
      <c r="A71">
        <v>2022</v>
      </c>
      <c r="B71" s="84">
        <v>1</v>
      </c>
      <c r="C71" s="47">
        <v>40</v>
      </c>
      <c r="D71" s="47">
        <v>80</v>
      </c>
      <c r="E71" s="47">
        <v>90</v>
      </c>
      <c r="F71" s="47">
        <v>85</v>
      </c>
      <c r="G71" s="117">
        <v>80</v>
      </c>
      <c r="H71" s="45">
        <v>2022</v>
      </c>
      <c r="I71" s="123">
        <v>130</v>
      </c>
      <c r="J71" s="57">
        <v>130</v>
      </c>
      <c r="K71" s="57">
        <v>150</v>
      </c>
      <c r="L71" s="57">
        <v>300</v>
      </c>
      <c r="M71" s="124">
        <v>40</v>
      </c>
      <c r="N71" s="45">
        <v>2022</v>
      </c>
      <c r="O71" s="5">
        <f t="shared" si="29"/>
        <v>750</v>
      </c>
      <c r="P71" s="17">
        <f t="shared" si="30"/>
        <v>0</v>
      </c>
      <c r="Q71" s="11">
        <f t="shared" si="31"/>
        <v>0</v>
      </c>
      <c r="R71" s="56">
        <f t="shared" si="32"/>
        <v>0</v>
      </c>
      <c r="S71" s="9">
        <f>O70*$P$64*$U$64</f>
        <v>0</v>
      </c>
      <c r="T71" s="53">
        <f t="shared" si="33"/>
        <v>0</v>
      </c>
      <c r="U71" s="127">
        <f t="shared" si="28"/>
        <v>-99930317.625384808</v>
      </c>
      <c r="V71" s="167">
        <f t="shared" si="34"/>
        <v>517475668.9676069</v>
      </c>
      <c r="X71" s="41"/>
      <c r="AE71" s="42"/>
      <c r="AF71" s="42"/>
      <c r="AG71" s="43"/>
    </row>
    <row r="72" spans="1:48" x14ac:dyDescent="0.35">
      <c r="A72">
        <v>2023</v>
      </c>
      <c r="B72" s="84">
        <v>1</v>
      </c>
      <c r="C72" s="118">
        <f t="shared" ref="C72:C89" si="35">C71*$B72</f>
        <v>40</v>
      </c>
      <c r="D72" s="118">
        <f t="shared" ref="D72:D89" si="36">D71*$B72</f>
        <v>80</v>
      </c>
      <c r="E72" s="118">
        <f t="shared" ref="E72:E89" si="37">E71*$B72</f>
        <v>90</v>
      </c>
      <c r="F72" s="118">
        <f t="shared" ref="F72:F89" si="38">F71*$B72</f>
        <v>85</v>
      </c>
      <c r="G72" s="119">
        <f t="shared" ref="G72:G89" si="39">G71*$B72</f>
        <v>80</v>
      </c>
      <c r="H72" s="45">
        <v>2023</v>
      </c>
      <c r="I72" s="123">
        <v>130</v>
      </c>
      <c r="J72" s="57">
        <v>130</v>
      </c>
      <c r="K72" s="57">
        <v>150</v>
      </c>
      <c r="L72" s="57">
        <v>300</v>
      </c>
      <c r="M72" s="124">
        <v>40</v>
      </c>
      <c r="N72" s="45">
        <v>2023</v>
      </c>
      <c r="O72" s="5">
        <f t="shared" si="29"/>
        <v>1500</v>
      </c>
      <c r="P72" s="17">
        <f t="shared" si="30"/>
        <v>66701200</v>
      </c>
      <c r="Q72" s="11">
        <f t="shared" si="31"/>
        <v>518530.71330352681</v>
      </c>
      <c r="R72" s="56">
        <f t="shared" si="32"/>
        <v>19027348.069222048</v>
      </c>
      <c r="S72" s="9">
        <f>O71*$P$64*12</f>
        <v>10386000</v>
      </c>
      <c r="T72" s="53">
        <f t="shared" si="33"/>
        <v>36769321.217474431</v>
      </c>
      <c r="U72" s="127">
        <f t="shared" si="28"/>
        <v>-133086173.7729747</v>
      </c>
      <c r="V72" s="167">
        <f t="shared" si="34"/>
        <v>384389495.19463217</v>
      </c>
      <c r="X72" s="51"/>
      <c r="AE72" s="42"/>
      <c r="AF72" s="42"/>
      <c r="AG72" s="43"/>
    </row>
    <row r="73" spans="1:48" x14ac:dyDescent="0.35">
      <c r="A73">
        <v>2024</v>
      </c>
      <c r="B73" s="84">
        <v>1</v>
      </c>
      <c r="C73" s="118">
        <f t="shared" si="35"/>
        <v>40</v>
      </c>
      <c r="D73" s="118">
        <f t="shared" si="36"/>
        <v>80</v>
      </c>
      <c r="E73" s="118">
        <f t="shared" si="37"/>
        <v>90</v>
      </c>
      <c r="F73" s="118">
        <f t="shared" si="38"/>
        <v>85</v>
      </c>
      <c r="G73" s="119">
        <f t="shared" si="39"/>
        <v>80</v>
      </c>
      <c r="H73" s="45">
        <v>2024</v>
      </c>
      <c r="I73" s="123">
        <v>130</v>
      </c>
      <c r="J73" s="57">
        <v>130</v>
      </c>
      <c r="K73" s="57">
        <v>150</v>
      </c>
      <c r="L73" s="57">
        <v>300</v>
      </c>
      <c r="M73" s="124">
        <v>40</v>
      </c>
      <c r="N73" s="45">
        <v>2024</v>
      </c>
      <c r="O73" s="5">
        <f t="shared" si="29"/>
        <v>2250</v>
      </c>
      <c r="P73" s="17">
        <f t="shared" si="30"/>
        <v>133402400</v>
      </c>
      <c r="Q73" s="11">
        <f t="shared" si="31"/>
        <v>1042246.7337400889</v>
      </c>
      <c r="R73" s="56">
        <f t="shared" si="32"/>
        <v>38244969.619136311</v>
      </c>
      <c r="S73" s="9">
        <f t="shared" ref="S73:S89" si="40">O72*$P$64*$U$64</f>
        <v>22503000</v>
      </c>
      <c r="T73" s="53">
        <f t="shared" si="33"/>
        <v>71612183.647123605</v>
      </c>
      <c r="U73" s="127">
        <f t="shared" si="28"/>
        <v>-171308282.31593874</v>
      </c>
      <c r="V73" s="167">
        <f t="shared" si="34"/>
        <v>213081212.87869343</v>
      </c>
      <c r="X73" s="51"/>
      <c r="AE73" s="42"/>
      <c r="AF73" s="42"/>
      <c r="AG73" s="43"/>
    </row>
    <row r="74" spans="1:48" x14ac:dyDescent="0.35">
      <c r="A74">
        <v>2025</v>
      </c>
      <c r="B74" s="84">
        <v>0.9</v>
      </c>
      <c r="C74" s="118">
        <f t="shared" si="35"/>
        <v>36</v>
      </c>
      <c r="D74" s="118">
        <f t="shared" si="36"/>
        <v>72</v>
      </c>
      <c r="E74" s="118">
        <f t="shared" si="37"/>
        <v>81</v>
      </c>
      <c r="F74" s="118">
        <f t="shared" si="38"/>
        <v>76.5</v>
      </c>
      <c r="G74" s="119">
        <f t="shared" si="39"/>
        <v>72</v>
      </c>
      <c r="H74" s="41">
        <v>2025</v>
      </c>
      <c r="I74" s="123">
        <v>130</v>
      </c>
      <c r="J74" s="57">
        <v>130</v>
      </c>
      <c r="K74" s="57">
        <v>150</v>
      </c>
      <c r="L74" s="57">
        <v>300</v>
      </c>
      <c r="M74" s="124">
        <v>40</v>
      </c>
      <c r="N74" s="41">
        <v>2025</v>
      </c>
      <c r="O74" s="5">
        <f t="shared" si="29"/>
        <v>3000</v>
      </c>
      <c r="P74" s="17">
        <f t="shared" si="30"/>
        <v>200103600</v>
      </c>
      <c r="Q74" s="11">
        <f t="shared" si="31"/>
        <v>1571186.9511131842</v>
      </c>
      <c r="R74" s="56">
        <f t="shared" si="32"/>
        <v>57654291.700847991</v>
      </c>
      <c r="S74" s="9">
        <f t="shared" si="40"/>
        <v>33754500</v>
      </c>
      <c r="T74" s="53">
        <f t="shared" si="33"/>
        <v>107123621.34803882</v>
      </c>
      <c r="U74" s="127">
        <f t="shared" si="28"/>
        <v>-202495183.29076746</v>
      </c>
      <c r="V74" s="167">
        <f t="shared" si="34"/>
        <v>10586029.587925971</v>
      </c>
      <c r="X74" s="51"/>
      <c r="AE74" s="42"/>
      <c r="AF74" s="42"/>
      <c r="AG74" s="43"/>
    </row>
    <row r="75" spans="1:48" x14ac:dyDescent="0.35">
      <c r="A75">
        <v>2026</v>
      </c>
      <c r="B75" s="84">
        <v>1</v>
      </c>
      <c r="C75" s="118">
        <f t="shared" si="35"/>
        <v>36</v>
      </c>
      <c r="D75" s="118">
        <f t="shared" si="36"/>
        <v>72</v>
      </c>
      <c r="E75" s="118">
        <f t="shared" si="37"/>
        <v>81</v>
      </c>
      <c r="F75" s="118">
        <f t="shared" si="38"/>
        <v>76.5</v>
      </c>
      <c r="G75" s="119">
        <f t="shared" si="39"/>
        <v>72</v>
      </c>
      <c r="H75" s="41">
        <v>2026</v>
      </c>
      <c r="I75" s="123">
        <v>130</v>
      </c>
      <c r="J75" s="57">
        <v>130</v>
      </c>
      <c r="K75" s="57">
        <v>150</v>
      </c>
      <c r="L75" s="57">
        <v>300</v>
      </c>
      <c r="M75" s="124">
        <v>40</v>
      </c>
      <c r="N75" s="41">
        <v>2026</v>
      </c>
      <c r="O75" s="5">
        <f t="shared" si="29"/>
        <v>3750</v>
      </c>
      <c r="P75" s="17">
        <f t="shared" si="30"/>
        <v>260134680</v>
      </c>
      <c r="Q75" s="11">
        <f t="shared" si="31"/>
        <v>2105390.5144916666</v>
      </c>
      <c r="R75" s="56">
        <f t="shared" si="32"/>
        <v>77256750.879136309</v>
      </c>
      <c r="S75" s="9">
        <f t="shared" si="40"/>
        <v>45006000</v>
      </c>
      <c r="T75" s="53">
        <f t="shared" si="33"/>
        <v>135766538.60637203</v>
      </c>
      <c r="U75" s="127">
        <f t="shared" si="28"/>
        <v>-131222286.86881438</v>
      </c>
      <c r="V75" s="167">
        <f t="shared" si="34"/>
        <v>-120636257.28088841</v>
      </c>
      <c r="X75" s="51"/>
      <c r="AE75" s="42"/>
      <c r="AF75" s="42"/>
      <c r="AG75" s="43"/>
    </row>
    <row r="76" spans="1:48" x14ac:dyDescent="0.35">
      <c r="A76">
        <v>2027</v>
      </c>
      <c r="B76" s="84">
        <v>1</v>
      </c>
      <c r="C76" s="118">
        <f t="shared" si="35"/>
        <v>36</v>
      </c>
      <c r="D76" s="118">
        <f t="shared" si="36"/>
        <v>72</v>
      </c>
      <c r="E76" s="118">
        <f t="shared" si="37"/>
        <v>81</v>
      </c>
      <c r="F76" s="118">
        <f t="shared" si="38"/>
        <v>76.5</v>
      </c>
      <c r="G76" s="119">
        <f t="shared" si="39"/>
        <v>72</v>
      </c>
      <c r="H76" s="41">
        <v>2027</v>
      </c>
      <c r="I76" s="123">
        <v>130</v>
      </c>
      <c r="J76" s="57">
        <v>130</v>
      </c>
      <c r="K76" s="57">
        <v>150</v>
      </c>
      <c r="L76" s="57">
        <v>300</v>
      </c>
      <c r="M76" s="124">
        <v>40</v>
      </c>
      <c r="N76" s="41">
        <v>2027</v>
      </c>
      <c r="O76" s="5">
        <f t="shared" si="29"/>
        <v>4500</v>
      </c>
      <c r="P76" s="17">
        <f t="shared" si="30"/>
        <v>320165760</v>
      </c>
      <c r="Q76" s="11">
        <f t="shared" si="31"/>
        <v>2644896.8338301568</v>
      </c>
      <c r="R76" s="56">
        <f t="shared" si="32"/>
        <v>97053793.291914999</v>
      </c>
      <c r="S76" s="9">
        <f t="shared" si="40"/>
        <v>56257500</v>
      </c>
      <c r="T76" s="53">
        <f t="shared" si="33"/>
        <v>164209569.87425482</v>
      </c>
      <c r="U76" s="127">
        <f t="shared" si="28"/>
        <v>-24740965.738009334</v>
      </c>
      <c r="V76" s="167">
        <f t="shared" si="34"/>
        <v>-145377223.01889774</v>
      </c>
      <c r="X76" s="41"/>
      <c r="AE76" s="42"/>
      <c r="AF76" s="42"/>
      <c r="AG76" s="43"/>
    </row>
    <row r="77" spans="1:48" x14ac:dyDescent="0.35">
      <c r="A77">
        <v>2028</v>
      </c>
      <c r="B77" s="84">
        <v>0.9</v>
      </c>
      <c r="C77" s="118">
        <f t="shared" si="35"/>
        <v>32.4</v>
      </c>
      <c r="D77" s="118">
        <f t="shared" si="36"/>
        <v>64.8</v>
      </c>
      <c r="E77" s="118">
        <f t="shared" si="37"/>
        <v>72.900000000000006</v>
      </c>
      <c r="F77" s="118">
        <f t="shared" si="38"/>
        <v>68.850000000000009</v>
      </c>
      <c r="G77" s="119">
        <f t="shared" si="39"/>
        <v>64.8</v>
      </c>
      <c r="H77" s="41">
        <v>2028</v>
      </c>
      <c r="I77" s="123">
        <v>130</v>
      </c>
      <c r="J77" s="57">
        <v>130</v>
      </c>
      <c r="K77" s="57">
        <v>150</v>
      </c>
      <c r="L77" s="57">
        <v>300</v>
      </c>
      <c r="M77" s="124">
        <v>40</v>
      </c>
      <c r="N77" s="41">
        <v>2028</v>
      </c>
      <c r="O77" s="5">
        <f t="shared" si="29"/>
        <v>5250</v>
      </c>
      <c r="P77" s="17">
        <f t="shared" si="30"/>
        <v>380196840</v>
      </c>
      <c r="Q77" s="11">
        <f t="shared" si="31"/>
        <v>3189745.5815991689</v>
      </c>
      <c r="R77" s="56">
        <f t="shared" si="32"/>
        <v>117046874.7100495</v>
      </c>
      <c r="S77" s="9">
        <f t="shared" si="40"/>
        <v>67509000</v>
      </c>
      <c r="T77" s="53">
        <f t="shared" si="33"/>
        <v>192451219.70835131</v>
      </c>
      <c r="U77" s="127">
        <f t="shared" si="28"/>
        <v>91171232.688575327</v>
      </c>
      <c r="V77" s="167">
        <f t="shared" si="34"/>
        <v>-54205990.330322415</v>
      </c>
      <c r="X77" s="41"/>
      <c r="AE77" s="42"/>
      <c r="AF77" s="42"/>
      <c r="AG77" s="43"/>
    </row>
    <row r="78" spans="1:48" x14ac:dyDescent="0.35">
      <c r="A78">
        <v>2029</v>
      </c>
      <c r="B78" s="84">
        <v>1</v>
      </c>
      <c r="C78" s="118">
        <f t="shared" si="35"/>
        <v>32.4</v>
      </c>
      <c r="D78" s="118">
        <f t="shared" si="36"/>
        <v>64.8</v>
      </c>
      <c r="E78" s="118">
        <f t="shared" si="37"/>
        <v>72.900000000000006</v>
      </c>
      <c r="F78" s="118">
        <f t="shared" si="38"/>
        <v>68.850000000000009</v>
      </c>
      <c r="G78" s="119">
        <f t="shared" si="39"/>
        <v>64.8</v>
      </c>
      <c r="H78" s="41">
        <v>2029</v>
      </c>
      <c r="I78" s="123">
        <v>130</v>
      </c>
      <c r="J78" s="57">
        <v>130</v>
      </c>
      <c r="K78" s="57">
        <v>150</v>
      </c>
      <c r="L78" s="57">
        <v>300</v>
      </c>
      <c r="M78" s="124">
        <v>40</v>
      </c>
      <c r="N78" s="41">
        <v>2029</v>
      </c>
      <c r="O78" s="5">
        <f t="shared" si="29"/>
        <v>6000</v>
      </c>
      <c r="P78" s="17">
        <f t="shared" si="30"/>
        <v>434224812</v>
      </c>
      <c r="Q78" s="11">
        <f t="shared" si="31"/>
        <v>3739976.6944250255</v>
      </c>
      <c r="R78" s="56">
        <f t="shared" si="32"/>
        <v>137237460.59753302</v>
      </c>
      <c r="S78" s="9">
        <f t="shared" si="40"/>
        <v>78760500</v>
      </c>
      <c r="T78" s="53">
        <f t="shared" si="33"/>
        <v>214486874.70804197</v>
      </c>
      <c r="U78" s="127">
        <f t="shared" si="28"/>
        <v>184487580.25586939</v>
      </c>
      <c r="V78" s="167">
        <f>U78+V77</f>
        <v>130281589.92554697</v>
      </c>
      <c r="X78" s="41"/>
      <c r="AE78" s="42"/>
      <c r="AF78" s="42"/>
      <c r="AG78" s="43"/>
    </row>
    <row r="79" spans="1:48" x14ac:dyDescent="0.35">
      <c r="A79">
        <v>2030</v>
      </c>
      <c r="B79" s="84">
        <v>1</v>
      </c>
      <c r="C79" s="118">
        <f t="shared" si="35"/>
        <v>32.4</v>
      </c>
      <c r="D79" s="118">
        <f t="shared" si="36"/>
        <v>64.8</v>
      </c>
      <c r="E79" s="118">
        <f t="shared" si="37"/>
        <v>72.900000000000006</v>
      </c>
      <c r="F79" s="118">
        <f t="shared" si="38"/>
        <v>68.850000000000009</v>
      </c>
      <c r="G79" s="119">
        <f t="shared" si="39"/>
        <v>64.8</v>
      </c>
      <c r="H79" s="41">
        <v>2030</v>
      </c>
      <c r="I79" s="123">
        <v>130</v>
      </c>
      <c r="J79" s="57">
        <v>130</v>
      </c>
      <c r="K79" s="57">
        <v>150</v>
      </c>
      <c r="L79" s="57">
        <v>300</v>
      </c>
      <c r="M79" s="124">
        <v>40</v>
      </c>
      <c r="N79" s="41">
        <v>2030</v>
      </c>
      <c r="O79" s="5">
        <f t="shared" si="29"/>
        <v>6750</v>
      </c>
      <c r="P79" s="17">
        <f t="shared" si="30"/>
        <v>488252784</v>
      </c>
      <c r="Q79" s="11">
        <f t="shared" si="31"/>
        <v>4295630.3747396003</v>
      </c>
      <c r="R79" s="56">
        <f t="shared" si="32"/>
        <v>157627026.17202365</v>
      </c>
      <c r="S79" s="9">
        <f t="shared" si="40"/>
        <v>90012000</v>
      </c>
      <c r="T79" s="53">
        <f t="shared" si="33"/>
        <v>236318127.45323676</v>
      </c>
      <c r="U79" s="127">
        <f t="shared" si="28"/>
        <v>97685755.152560532</v>
      </c>
      <c r="V79" s="167">
        <f t="shared" si="34"/>
        <v>227967345.07810751</v>
      </c>
      <c r="X79" s="41"/>
      <c r="AE79" s="42"/>
      <c r="AF79" s="42"/>
      <c r="AG79" s="43"/>
    </row>
    <row r="80" spans="1:48" x14ac:dyDescent="0.35">
      <c r="A80">
        <v>2031</v>
      </c>
      <c r="B80" s="84">
        <v>0.9</v>
      </c>
      <c r="C80" s="118">
        <f t="shared" si="35"/>
        <v>29.16</v>
      </c>
      <c r="D80" s="118">
        <f t="shared" si="36"/>
        <v>58.32</v>
      </c>
      <c r="E80" s="118">
        <f t="shared" si="37"/>
        <v>65.610000000000014</v>
      </c>
      <c r="F80" s="118">
        <f t="shared" si="38"/>
        <v>61.965000000000011</v>
      </c>
      <c r="G80" s="119">
        <f t="shared" si="39"/>
        <v>58.32</v>
      </c>
      <c r="H80" s="44">
        <v>2031</v>
      </c>
      <c r="I80" s="123">
        <v>130</v>
      </c>
      <c r="J80" s="57">
        <v>130</v>
      </c>
      <c r="K80" s="57">
        <v>150</v>
      </c>
      <c r="L80" s="57">
        <v>300</v>
      </c>
      <c r="M80" s="124">
        <v>40</v>
      </c>
      <c r="N80" s="44">
        <v>2031</v>
      </c>
      <c r="O80" s="5">
        <f t="shared" si="29"/>
        <v>7500</v>
      </c>
      <c r="P80" s="17">
        <f t="shared" si="30"/>
        <v>542280756</v>
      </c>
      <c r="Q80" s="11">
        <f t="shared" si="31"/>
        <v>4856747.0924399607</v>
      </c>
      <c r="R80" s="56">
        <f t="shared" si="32"/>
        <v>178217056.46574426</v>
      </c>
      <c r="S80" s="9">
        <f t="shared" si="40"/>
        <v>101263500</v>
      </c>
      <c r="T80" s="53">
        <f t="shared" si="33"/>
        <v>257943452.44181579</v>
      </c>
      <c r="U80" s="127">
        <f t="shared" si="28"/>
        <v>151703598.0070104</v>
      </c>
      <c r="V80" s="167">
        <f t="shared" si="34"/>
        <v>379670943.08511794</v>
      </c>
      <c r="X80" s="41"/>
      <c r="AE80" s="42"/>
      <c r="AF80" s="42"/>
      <c r="AG80" s="43"/>
    </row>
    <row r="81" spans="1:48" x14ac:dyDescent="0.35">
      <c r="A81">
        <v>2032</v>
      </c>
      <c r="B81" s="84">
        <v>1</v>
      </c>
      <c r="C81" s="118">
        <f t="shared" si="35"/>
        <v>29.16</v>
      </c>
      <c r="D81" s="118">
        <f t="shared" si="36"/>
        <v>58.32</v>
      </c>
      <c r="E81" s="118">
        <f t="shared" si="37"/>
        <v>65.610000000000014</v>
      </c>
      <c r="F81" s="118">
        <f t="shared" si="38"/>
        <v>61.965000000000011</v>
      </c>
      <c r="G81" s="119">
        <f t="shared" si="39"/>
        <v>58.32</v>
      </c>
      <c r="H81" s="44">
        <v>2032</v>
      </c>
      <c r="I81" s="123">
        <v>130</v>
      </c>
      <c r="J81" s="57">
        <v>130</v>
      </c>
      <c r="K81" s="57">
        <v>150</v>
      </c>
      <c r="L81" s="57">
        <v>300</v>
      </c>
      <c r="M81" s="124">
        <v>40</v>
      </c>
      <c r="N81" s="44">
        <v>2032</v>
      </c>
      <c r="O81" s="5">
        <f t="shared" si="29"/>
        <v>8250</v>
      </c>
      <c r="P81" s="17">
        <f t="shared" si="30"/>
        <v>590905930.80000007</v>
      </c>
      <c r="Q81" s="11">
        <f t="shared" si="31"/>
        <v>5423367.5865579564</v>
      </c>
      <c r="R81" s="56">
        <f t="shared" si="32"/>
        <v>199009046.38674775</v>
      </c>
      <c r="S81" s="9">
        <f t="shared" si="40"/>
        <v>112515000</v>
      </c>
      <c r="T81" s="53">
        <f t="shared" si="33"/>
        <v>273958516.82669437</v>
      </c>
      <c r="U81" s="127">
        <f t="shared" si="28"/>
        <v>206875360.02937603</v>
      </c>
      <c r="V81" s="167">
        <f t="shared" si="34"/>
        <v>586546303.11449397</v>
      </c>
      <c r="X81" s="41"/>
      <c r="AE81" s="42"/>
      <c r="AF81" s="42"/>
      <c r="AG81" s="43"/>
    </row>
    <row r="82" spans="1:48" x14ac:dyDescent="0.35">
      <c r="A82">
        <v>2033</v>
      </c>
      <c r="B82" s="84">
        <v>1</v>
      </c>
      <c r="C82" s="118">
        <f t="shared" si="35"/>
        <v>29.16</v>
      </c>
      <c r="D82" s="118">
        <f t="shared" si="36"/>
        <v>58.32</v>
      </c>
      <c r="E82" s="118">
        <f t="shared" si="37"/>
        <v>65.610000000000014</v>
      </c>
      <c r="F82" s="118">
        <f t="shared" si="38"/>
        <v>61.965000000000011</v>
      </c>
      <c r="G82" s="119">
        <f t="shared" si="39"/>
        <v>58.32</v>
      </c>
      <c r="H82" s="44">
        <v>2033</v>
      </c>
      <c r="I82" s="123">
        <v>130</v>
      </c>
      <c r="J82" s="57">
        <v>130</v>
      </c>
      <c r="K82" s="57">
        <v>150</v>
      </c>
      <c r="L82" s="57">
        <v>300</v>
      </c>
      <c r="M82" s="124">
        <v>40</v>
      </c>
      <c r="N82" s="44">
        <v>2033</v>
      </c>
      <c r="O82" s="5">
        <f t="shared" si="29"/>
        <v>9000</v>
      </c>
      <c r="P82" s="17">
        <f t="shared" si="30"/>
        <v>639531105.60000014</v>
      </c>
      <c r="Q82" s="11">
        <f t="shared" si="31"/>
        <v>5995532.8669398203</v>
      </c>
      <c r="R82" s="56">
        <f t="shared" si="32"/>
        <v>220004500.78054962</v>
      </c>
      <c r="S82" s="9">
        <f t="shared" si="40"/>
        <v>123766500</v>
      </c>
      <c r="T82" s="53">
        <f t="shared" si="33"/>
        <v>289764571.95251071</v>
      </c>
      <c r="U82" s="127">
        <f t="shared" si="28"/>
        <v>257764833.16784012</v>
      </c>
      <c r="V82" s="167">
        <f t="shared" si="34"/>
        <v>844311136.28233409</v>
      </c>
      <c r="X82" s="50"/>
      <c r="AE82" s="42"/>
      <c r="AF82" s="42"/>
      <c r="AG82" s="43"/>
    </row>
    <row r="83" spans="1:48" x14ac:dyDescent="0.35">
      <c r="A83">
        <v>2034</v>
      </c>
      <c r="B83" s="84">
        <v>0.9</v>
      </c>
      <c r="C83" s="118">
        <f t="shared" si="35"/>
        <v>26.244</v>
      </c>
      <c r="D83" s="118">
        <f t="shared" si="36"/>
        <v>52.488</v>
      </c>
      <c r="E83" s="118">
        <f t="shared" si="37"/>
        <v>59.049000000000014</v>
      </c>
      <c r="F83" s="118">
        <f t="shared" si="38"/>
        <v>55.76850000000001</v>
      </c>
      <c r="G83" s="119">
        <f t="shared" si="39"/>
        <v>52.488</v>
      </c>
      <c r="H83" s="44">
        <v>2034</v>
      </c>
      <c r="I83" s="123">
        <v>130</v>
      </c>
      <c r="J83" s="57">
        <v>130</v>
      </c>
      <c r="K83" s="57">
        <v>150</v>
      </c>
      <c r="L83" s="57">
        <v>300</v>
      </c>
      <c r="M83" s="124">
        <v>40</v>
      </c>
      <c r="N83" s="44">
        <v>2034</v>
      </c>
      <c r="O83" s="5">
        <f t="shared" si="29"/>
        <v>9750</v>
      </c>
      <c r="P83" s="17">
        <f t="shared" si="30"/>
        <v>688156280.40000021</v>
      </c>
      <c r="Q83" s="11">
        <f t="shared" si="31"/>
        <v>6573284.2159358403</v>
      </c>
      <c r="R83" s="56">
        <f t="shared" si="32"/>
        <v>241204934.49212986</v>
      </c>
      <c r="S83" s="9">
        <f t="shared" si="40"/>
        <v>135018000</v>
      </c>
      <c r="T83" s="53">
        <f t="shared" si="33"/>
        <v>305360061.69193453</v>
      </c>
      <c r="U83" s="127">
        <f t="shared" si="28"/>
        <v>290676957.05901796</v>
      </c>
      <c r="V83" s="167">
        <f t="shared" si="34"/>
        <v>1134988093.341352</v>
      </c>
      <c r="X83" s="50"/>
      <c r="AE83" s="42"/>
      <c r="AF83" s="42"/>
      <c r="AG83" s="43"/>
    </row>
    <row r="84" spans="1:48" x14ac:dyDescent="0.35">
      <c r="A84">
        <v>2035</v>
      </c>
      <c r="B84" s="84">
        <v>1</v>
      </c>
      <c r="C84" s="118">
        <f t="shared" si="35"/>
        <v>26.244</v>
      </c>
      <c r="D84" s="118">
        <f t="shared" si="36"/>
        <v>52.488</v>
      </c>
      <c r="E84" s="118">
        <f t="shared" si="37"/>
        <v>59.049000000000014</v>
      </c>
      <c r="F84" s="118">
        <f t="shared" si="38"/>
        <v>55.76850000000001</v>
      </c>
      <c r="G84" s="119">
        <f t="shared" si="39"/>
        <v>52.488</v>
      </c>
      <c r="H84" s="44">
        <v>2035</v>
      </c>
      <c r="I84" s="123">
        <v>130</v>
      </c>
      <c r="J84" s="57">
        <v>130</v>
      </c>
      <c r="K84" s="57">
        <v>150</v>
      </c>
      <c r="L84" s="57">
        <v>300</v>
      </c>
      <c r="M84" s="124">
        <v>40</v>
      </c>
      <c r="N84" s="44">
        <v>2035</v>
      </c>
      <c r="O84" s="5">
        <f t="shared" si="29"/>
        <v>10500</v>
      </c>
      <c r="P84" s="17">
        <f t="shared" si="30"/>
        <v>731918937.72000027</v>
      </c>
      <c r="Q84" s="11">
        <f t="shared" si="31"/>
        <v>7156663.1901001455</v>
      </c>
      <c r="R84" s="56">
        <f t="shared" si="32"/>
        <v>262611872.4283064</v>
      </c>
      <c r="S84" s="9">
        <f t="shared" si="40"/>
        <v>146269500</v>
      </c>
      <c r="T84" s="53">
        <f t="shared" si="33"/>
        <v>315880902.10159373</v>
      </c>
      <c r="U84" s="127">
        <f t="shared" si="28"/>
        <v>322516597.37311339</v>
      </c>
      <c r="V84" s="167">
        <f t="shared" si="34"/>
        <v>1457504690.7144654</v>
      </c>
      <c r="X84" s="50"/>
      <c r="AE84" s="42"/>
      <c r="AF84" s="42"/>
      <c r="AG84" s="43"/>
    </row>
    <row r="85" spans="1:48" x14ac:dyDescent="0.35">
      <c r="A85">
        <v>2036</v>
      </c>
      <c r="B85" s="84">
        <v>1</v>
      </c>
      <c r="C85" s="118">
        <f t="shared" si="35"/>
        <v>26.244</v>
      </c>
      <c r="D85" s="118">
        <f t="shared" si="36"/>
        <v>52.488</v>
      </c>
      <c r="E85" s="118">
        <f t="shared" si="37"/>
        <v>59.049000000000014</v>
      </c>
      <c r="F85" s="118">
        <f t="shared" si="38"/>
        <v>55.76850000000001</v>
      </c>
      <c r="G85" s="119">
        <f t="shared" si="39"/>
        <v>52.488</v>
      </c>
      <c r="H85" s="44">
        <v>2036</v>
      </c>
      <c r="I85" s="123">
        <v>130</v>
      </c>
      <c r="J85" s="57">
        <v>130</v>
      </c>
      <c r="K85" s="57">
        <v>150</v>
      </c>
      <c r="L85" s="57">
        <v>300</v>
      </c>
      <c r="M85" s="124">
        <v>40</v>
      </c>
      <c r="N85" s="44">
        <v>2036</v>
      </c>
      <c r="O85" s="5">
        <f t="shared" si="29"/>
        <v>11250</v>
      </c>
      <c r="P85" s="17">
        <f t="shared" si="30"/>
        <v>775681595.04000032</v>
      </c>
      <c r="Q85" s="11">
        <f t="shared" si="31"/>
        <v>7745711.6219006963</v>
      </c>
      <c r="R85" s="56">
        <f t="shared" si="32"/>
        <v>284226849.62048239</v>
      </c>
      <c r="S85" s="9">
        <f t="shared" si="40"/>
        <v>157521000</v>
      </c>
      <c r="T85" s="53">
        <f t="shared" si="33"/>
        <v>326188033.79761726</v>
      </c>
      <c r="U85" s="127">
        <f t="shared" si="28"/>
        <v>332940474.43946356</v>
      </c>
      <c r="V85" s="167">
        <f t="shared" si="34"/>
        <v>1790445165.153929</v>
      </c>
      <c r="X85" s="50"/>
      <c r="AE85" s="42"/>
      <c r="AF85" s="42"/>
      <c r="AG85" s="43"/>
    </row>
    <row r="86" spans="1:48" x14ac:dyDescent="0.35">
      <c r="A86">
        <v>2037</v>
      </c>
      <c r="B86" s="84">
        <v>0.9</v>
      </c>
      <c r="C86" s="118">
        <f t="shared" si="35"/>
        <v>23.619600000000002</v>
      </c>
      <c r="D86" s="118">
        <f t="shared" si="36"/>
        <v>47.239200000000004</v>
      </c>
      <c r="E86" s="118">
        <f t="shared" si="37"/>
        <v>53.144100000000016</v>
      </c>
      <c r="F86" s="118">
        <f t="shared" si="38"/>
        <v>50.19165000000001</v>
      </c>
      <c r="G86" s="119">
        <f t="shared" si="39"/>
        <v>47.239200000000004</v>
      </c>
      <c r="H86" s="44">
        <v>2037</v>
      </c>
      <c r="I86" s="123">
        <v>130</v>
      </c>
      <c r="J86" s="57">
        <v>130</v>
      </c>
      <c r="K86" s="57">
        <v>150</v>
      </c>
      <c r="L86" s="57">
        <v>300</v>
      </c>
      <c r="M86" s="124">
        <v>40</v>
      </c>
      <c r="N86" s="44">
        <v>2037</v>
      </c>
      <c r="O86" s="5">
        <f t="shared" si="29"/>
        <v>12000</v>
      </c>
      <c r="P86" s="17">
        <f t="shared" si="30"/>
        <v>819444252.36000037</v>
      </c>
      <c r="Q86" s="11">
        <f t="shared" si="31"/>
        <v>8340471.6214395007</v>
      </c>
      <c r="R86" s="56">
        <f t="shared" si="32"/>
        <v>306051411.28776938</v>
      </c>
      <c r="S86" s="9">
        <f t="shared" si="40"/>
        <v>168772500</v>
      </c>
      <c r="T86" s="53">
        <f t="shared" si="33"/>
        <v>336279869.45079148</v>
      </c>
      <c r="U86" s="127">
        <f t="shared" si="28"/>
        <v>372758777.75247467</v>
      </c>
      <c r="V86" s="167">
        <f t="shared" si="34"/>
        <v>2163203942.9064035</v>
      </c>
      <c r="X86" s="50"/>
      <c r="AE86" s="42"/>
      <c r="AF86" s="42"/>
      <c r="AG86" s="43"/>
    </row>
    <row r="87" spans="1:48" x14ac:dyDescent="0.35">
      <c r="A87">
        <v>2038</v>
      </c>
      <c r="B87" s="84">
        <v>1</v>
      </c>
      <c r="C87" s="118">
        <f t="shared" si="35"/>
        <v>23.619600000000002</v>
      </c>
      <c r="D87" s="118">
        <f t="shared" si="36"/>
        <v>47.239200000000004</v>
      </c>
      <c r="E87" s="118">
        <f t="shared" si="37"/>
        <v>53.144100000000016</v>
      </c>
      <c r="F87" s="118">
        <f t="shared" si="38"/>
        <v>50.19165000000001</v>
      </c>
      <c r="G87" s="119">
        <f t="shared" si="39"/>
        <v>47.239200000000004</v>
      </c>
      <c r="H87" s="44">
        <v>2038</v>
      </c>
      <c r="I87" s="123">
        <v>130</v>
      </c>
      <c r="J87" s="57">
        <v>130</v>
      </c>
      <c r="K87" s="57">
        <v>150</v>
      </c>
      <c r="L87" s="57">
        <v>300</v>
      </c>
      <c r="M87" s="124">
        <v>40</v>
      </c>
      <c r="N87" s="44">
        <v>2038</v>
      </c>
      <c r="O87" s="5">
        <f t="shared" si="29"/>
        <v>12750</v>
      </c>
      <c r="P87" s="17">
        <f t="shared" si="30"/>
        <v>858830643.94800043</v>
      </c>
      <c r="Q87" s="11">
        <f t="shared" si="31"/>
        <v>8940985.5781831425</v>
      </c>
      <c r="R87" s="56">
        <f t="shared" si="32"/>
        <v>328087112.90048879</v>
      </c>
      <c r="S87" s="9">
        <f t="shared" si="40"/>
        <v>180024000</v>
      </c>
      <c r="T87" s="53">
        <f t="shared" si="33"/>
        <v>341778545.46932852</v>
      </c>
      <c r="U87" s="127">
        <f t="shared" si="28"/>
        <v>415235723.28995407</v>
      </c>
      <c r="V87" s="167">
        <f t="shared" si="34"/>
        <v>2578439666.1963577</v>
      </c>
      <c r="X87" s="50"/>
      <c r="AE87" s="42"/>
      <c r="AF87" s="42"/>
      <c r="AG87" s="43"/>
    </row>
    <row r="88" spans="1:48" x14ac:dyDescent="0.35">
      <c r="A88">
        <v>2039</v>
      </c>
      <c r="B88" s="84">
        <v>1</v>
      </c>
      <c r="C88" s="118">
        <f t="shared" si="35"/>
        <v>23.619600000000002</v>
      </c>
      <c r="D88" s="118">
        <f t="shared" si="36"/>
        <v>47.239200000000004</v>
      </c>
      <c r="E88" s="118">
        <f t="shared" si="37"/>
        <v>53.144100000000016</v>
      </c>
      <c r="F88" s="118">
        <f t="shared" si="38"/>
        <v>50.19165000000001</v>
      </c>
      <c r="G88" s="119">
        <f t="shared" si="39"/>
        <v>47.239200000000004</v>
      </c>
      <c r="H88" s="44">
        <v>2039</v>
      </c>
      <c r="I88" s="123">
        <v>130</v>
      </c>
      <c r="J88" s="57">
        <v>130</v>
      </c>
      <c r="K88" s="57">
        <v>150</v>
      </c>
      <c r="L88" s="57">
        <v>300</v>
      </c>
      <c r="M88" s="124">
        <v>40</v>
      </c>
      <c r="N88" s="44">
        <v>2039</v>
      </c>
      <c r="O88" s="5">
        <f t="shared" si="29"/>
        <v>13500</v>
      </c>
      <c r="P88" s="17">
        <f t="shared" si="30"/>
        <v>898217035.53600049</v>
      </c>
      <c r="Q88" s="11">
        <f t="shared" si="31"/>
        <v>9547296.1627036892</v>
      </c>
      <c r="R88" s="56">
        <f t="shared" si="32"/>
        <v>350335520.24405324</v>
      </c>
      <c r="S88" s="9">
        <f t="shared" si="40"/>
        <v>191275500</v>
      </c>
      <c r="T88" s="53">
        <f t="shared" si="33"/>
        <v>347058719.12924361</v>
      </c>
      <c r="U88" s="127">
        <f t="shared" si="28"/>
        <v>426825046.38383543</v>
      </c>
      <c r="V88" s="167">
        <f t="shared" si="34"/>
        <v>3005264712.580193</v>
      </c>
      <c r="X88" s="50"/>
      <c r="AE88" s="42"/>
      <c r="AF88" s="42"/>
      <c r="AG88" s="43"/>
    </row>
    <row r="89" spans="1:48" ht="15" thickBot="1" x14ac:dyDescent="0.4">
      <c r="A89">
        <v>2040</v>
      </c>
      <c r="B89" s="63">
        <v>0.9</v>
      </c>
      <c r="C89" s="162">
        <f t="shared" si="35"/>
        <v>21.257640000000002</v>
      </c>
      <c r="D89" s="120">
        <f t="shared" si="36"/>
        <v>42.515280000000004</v>
      </c>
      <c r="E89" s="120">
        <f t="shared" si="37"/>
        <v>47.829690000000014</v>
      </c>
      <c r="F89" s="120">
        <f t="shared" si="38"/>
        <v>45.172485000000009</v>
      </c>
      <c r="G89" s="121">
        <f t="shared" si="39"/>
        <v>42.515280000000004</v>
      </c>
      <c r="H89" s="44">
        <v>2040</v>
      </c>
      <c r="I89" s="175">
        <v>130</v>
      </c>
      <c r="J89" s="176">
        <v>130</v>
      </c>
      <c r="K89" s="176">
        <v>150</v>
      </c>
      <c r="L89" s="176">
        <v>300</v>
      </c>
      <c r="M89" s="177">
        <v>40</v>
      </c>
      <c r="N89" s="44">
        <v>2040</v>
      </c>
      <c r="O89" s="69">
        <f t="shared" si="29"/>
        <v>14250</v>
      </c>
      <c r="P89" s="71">
        <f t="shared" si="30"/>
        <v>937603427.12400055</v>
      </c>
      <c r="Q89" s="72">
        <f t="shared" si="31"/>
        <v>10159446.328429984</v>
      </c>
      <c r="R89" s="128">
        <f t="shared" si="32"/>
        <v>372798209.48323077</v>
      </c>
      <c r="S89" s="70">
        <f t="shared" si="40"/>
        <v>202527000</v>
      </c>
      <c r="T89" s="72">
        <f t="shared" si="33"/>
        <v>352118771.31233978</v>
      </c>
      <c r="U89" s="165">
        <f t="shared" si="28"/>
        <v>424671010.98330462</v>
      </c>
      <c r="V89" s="168">
        <f t="shared" si="34"/>
        <v>3429935723.5634975</v>
      </c>
      <c r="X89" s="50"/>
      <c r="AE89" s="42"/>
      <c r="AF89" s="42"/>
      <c r="AG89" s="43"/>
    </row>
    <row r="90" spans="1:48" x14ac:dyDescent="0.35">
      <c r="I90" s="73"/>
      <c r="J90" s="73"/>
      <c r="K90" s="73"/>
      <c r="L90" s="73"/>
      <c r="M90" s="73"/>
      <c r="O90" t="s">
        <v>77</v>
      </c>
      <c r="S90" s="22"/>
      <c r="X90" s="50"/>
      <c r="AE90" s="42"/>
      <c r="AF90" s="42"/>
      <c r="AG90" s="43"/>
    </row>
    <row r="91" spans="1:48" x14ac:dyDescent="0.35">
      <c r="N91" s="31"/>
      <c r="X91" s="50"/>
    </row>
    <row r="92" spans="1:48" x14ac:dyDescent="0.35">
      <c r="N92" s="12"/>
      <c r="Q92" s="33"/>
      <c r="R92" s="36"/>
      <c r="S92" s="36"/>
      <c r="T92" s="36"/>
      <c r="U92" s="33"/>
      <c r="V92" s="33"/>
    </row>
    <row r="93" spans="1:48" x14ac:dyDescent="0.35">
      <c r="N93" s="33"/>
      <c r="P93" s="33"/>
      <c r="Q93" s="13"/>
      <c r="R93" s="33"/>
      <c r="S93" s="33"/>
      <c r="T93" s="33"/>
      <c r="U93" s="33"/>
      <c r="V93" s="33"/>
    </row>
    <row r="94" spans="1:48" x14ac:dyDescent="0.35">
      <c r="A94" s="33"/>
      <c r="B94" s="12"/>
      <c r="C94" s="12"/>
      <c r="D94" s="12"/>
      <c r="E94" s="12"/>
      <c r="F94" s="12"/>
      <c r="G94" s="36"/>
      <c r="H94" s="12"/>
      <c r="I94" s="12"/>
      <c r="J94" s="12"/>
      <c r="K94" s="12"/>
      <c r="L94" s="36"/>
      <c r="M94" s="12"/>
      <c r="N94" s="12"/>
      <c r="Y94" s="22"/>
    </row>
    <row r="95" spans="1:48" x14ac:dyDescent="0.35">
      <c r="A95" s="1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48" x14ac:dyDescent="0.35"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11"/>
      <c r="AM96" s="33"/>
      <c r="AN96" s="33"/>
      <c r="AO96" s="33"/>
      <c r="AP96" s="33"/>
      <c r="AQ96" s="33"/>
      <c r="AR96" s="33"/>
      <c r="AS96" s="33"/>
      <c r="AT96" s="33"/>
      <c r="AU96" s="33"/>
      <c r="AV96" s="33"/>
    </row>
    <row r="100" spans="16:16" x14ac:dyDescent="0.35">
      <c r="P100" s="46"/>
    </row>
    <row r="130" spans="1:23" x14ac:dyDescent="0.3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</row>
    <row r="131" spans="1:23" x14ac:dyDescent="0.35">
      <c r="A131" s="33"/>
      <c r="B131" s="40"/>
      <c r="C131" s="40"/>
      <c r="D131" s="40"/>
      <c r="E131" s="40"/>
      <c r="F131" s="55"/>
      <c r="G131" s="40"/>
      <c r="H131" s="40"/>
      <c r="I131" s="40"/>
      <c r="J131" s="40"/>
      <c r="K131" s="55"/>
      <c r="L131" s="55"/>
      <c r="M131" s="40"/>
      <c r="N131" s="33"/>
      <c r="O131" s="40"/>
      <c r="P131" s="55"/>
      <c r="Q131" s="55"/>
      <c r="R131" s="33"/>
      <c r="S131" s="55"/>
      <c r="T131" s="55"/>
      <c r="U131" s="55"/>
      <c r="V131" s="56"/>
      <c r="W131" s="33"/>
    </row>
  </sheetData>
  <mergeCells count="18">
    <mergeCell ref="O66:V66"/>
    <mergeCell ref="K36:M36"/>
    <mergeCell ref="R36:S36"/>
    <mergeCell ref="B66:G66"/>
    <mergeCell ref="I66:M66"/>
    <mergeCell ref="C36:D36"/>
    <mergeCell ref="O35:P35"/>
    <mergeCell ref="R35:S35"/>
    <mergeCell ref="F35:M35"/>
    <mergeCell ref="B35:D35"/>
    <mergeCell ref="I3:J3"/>
    <mergeCell ref="M3:N3"/>
    <mergeCell ref="J5:Q5"/>
    <mergeCell ref="B4:Q4"/>
    <mergeCell ref="R6:U6"/>
    <mergeCell ref="B5:H5"/>
    <mergeCell ref="B6:E6"/>
    <mergeCell ref="E3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 &amp; Footnotes</vt:lpstr>
      <vt:lpstr>Cost Cap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Witherell</dc:creator>
  <cp:lastModifiedBy>Benrey, Ariane</cp:lastModifiedBy>
  <dcterms:created xsi:type="dcterms:W3CDTF">2021-02-26T02:42:39Z</dcterms:created>
  <dcterms:modified xsi:type="dcterms:W3CDTF">2021-04-07T19:27:26Z</dcterms:modified>
</cp:coreProperties>
</file>